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3245" windowHeight="8310" tabRatio="743" activeTab="3"/>
  </bookViews>
  <sheets>
    <sheet name="Mov-Desm. ETAPA 1" sheetId="1" r:id="rId1"/>
    <sheet name="INSTA. DE PLANTA DE ASFALTO, CH" sheetId="2" r:id="rId2"/>
    <sheet name="manten ETAPA 1" sheetId="3" r:id="rId3"/>
    <sheet name="Equip-mín ETAPA 1" sheetId="4" r:id="rId4"/>
  </sheets>
  <externalReferences>
    <externalReference r:id="rId7"/>
    <externalReference r:id="rId8"/>
    <externalReference r:id="rId9"/>
  </externalReferences>
  <definedNames>
    <definedName name="_xlnm.Print_Area" localSheetId="3">'Equip-mín ETAPA 1'!$A$4:$G$34</definedName>
    <definedName name="_xlnm.Print_Area" localSheetId="1">'INSTA. DE PLANTA DE ASFALTO, CH'!$A$4:$G$67</definedName>
    <definedName name="_xlnm.Print_Area" localSheetId="2">'manten ETAPA 1'!$A$1:$G$51</definedName>
    <definedName name="_xlnm.Print_Area" localSheetId="0">'Mov-Desm. ETAPA 1'!$A$1:$G$68</definedName>
    <definedName name="_xlnm.Print_Titles" localSheetId="0">'Mov-Desm. ETAPA 1'!$2:$8</definedName>
  </definedNames>
  <calcPr fullCalcOnLoad="1" iterate="1" iterateCount="10" iterateDelta="0.01"/>
</workbook>
</file>

<file path=xl/sharedStrings.xml><?xml version="1.0" encoding="utf-8"?>
<sst xmlns="http://schemas.openxmlformats.org/spreadsheetml/2006/main" count="324" uniqueCount="212">
  <si>
    <t>POT.</t>
  </si>
  <si>
    <t>CAPACIDAD</t>
  </si>
  <si>
    <t>PESO</t>
  </si>
  <si>
    <t>HP</t>
  </si>
  <si>
    <t>KG</t>
  </si>
  <si>
    <t>S/.</t>
  </si>
  <si>
    <t xml:space="preserve"> </t>
  </si>
  <si>
    <t>UND</t>
  </si>
  <si>
    <t>TOTALES</t>
  </si>
  <si>
    <t>TIPO DE VEHICULO</t>
  </si>
  <si>
    <t>A MOVILIZAR Y DESMOVILIZAR</t>
  </si>
  <si>
    <t>KG.</t>
  </si>
  <si>
    <t>Nº de Días de</t>
  </si>
  <si>
    <t>Ejecución</t>
  </si>
  <si>
    <t>CANTIDAD</t>
  </si>
  <si>
    <t>Requerida</t>
  </si>
  <si>
    <t>Cantidad de Hora</t>
  </si>
  <si>
    <t>TRACTOR DE ORUGAS DE 190-240 HP</t>
  </si>
  <si>
    <t>ZARANDA VIBRATORIA 4"x6"x14" M.E. 15 HP</t>
  </si>
  <si>
    <t>CHANCADORA PRIMARIA SECUNDARIA 5 FAJAS 75 HP 46 - 70 ton/h</t>
  </si>
  <si>
    <t>MOTONIVELADORA DE 125 HP</t>
  </si>
  <si>
    <t>CAMIONETA PICK-UP 4x2  107HP 1 TON.</t>
  </si>
  <si>
    <t>178-210</t>
  </si>
  <si>
    <t>107</t>
  </si>
  <si>
    <t>1TN</t>
  </si>
  <si>
    <t>125</t>
  </si>
  <si>
    <t>75</t>
  </si>
  <si>
    <t>190-240</t>
  </si>
  <si>
    <t>80</t>
  </si>
  <si>
    <t>A ) EQUIPO TRANSPORTADO</t>
  </si>
  <si>
    <t>MOVILIZACION</t>
  </si>
  <si>
    <t>DESMOVILIZACION</t>
  </si>
  <si>
    <t>SEGUROS</t>
  </si>
  <si>
    <t>DESCRIPCION</t>
  </si>
  <si>
    <t>F) LIMPIEZA DEL SITIO</t>
  </si>
  <si>
    <t>COSTO DE MOVILIZACION Y DESMOVILIZACION DE EQUIPOS</t>
  </si>
  <si>
    <t>ITEM</t>
  </si>
  <si>
    <t>VALOR TOTAL</t>
  </si>
  <si>
    <t>MANTENIMIENTO DE DESVIO QUE INVOLUCRE LA OBRA EN EJECUCION</t>
  </si>
  <si>
    <t>Para el periodo contractual, 1.0 dias/semana para trabajos livianos, 1.00dia/semana para trabajos con equipo pesados</t>
  </si>
  <si>
    <t>Peones</t>
  </si>
  <si>
    <t>Camioneta Pick-Up 4x4 c/s</t>
  </si>
  <si>
    <t>Total</t>
  </si>
  <si>
    <t>EQUIPO DE SOLDAR</t>
  </si>
  <si>
    <t>TRACTOR DE TIRO DE 80 HP</t>
  </si>
  <si>
    <t>46-70</t>
  </si>
  <si>
    <t>3</t>
  </si>
  <si>
    <t>15</t>
  </si>
  <si>
    <t>CAMION IMPRIMIDOR 6x2 178-210 HP 1,800 G</t>
  </si>
  <si>
    <t>ALQUILER HORARIO</t>
  </si>
  <si>
    <t>COSTO TOTAL EN NUEVOS SOLES S/.</t>
  </si>
  <si>
    <t>1800GL</t>
  </si>
  <si>
    <t>330</t>
  </si>
  <si>
    <t>TOTAL</t>
  </si>
  <si>
    <t>PRECIO</t>
  </si>
  <si>
    <t>PARCIAL</t>
  </si>
  <si>
    <t>SEÑALES RESTRICTIVAS</t>
  </si>
  <si>
    <t>SEÑALES PREVENTIVAS</t>
  </si>
  <si>
    <t>BARRERAS</t>
  </si>
  <si>
    <t>CONOS</t>
  </si>
  <si>
    <t>BANDERINES</t>
  </si>
  <si>
    <t>SEÑALES INFORMATIVAS</t>
  </si>
  <si>
    <t>HORAS</t>
  </si>
  <si>
    <t xml:space="preserve">CAMION BARANDA </t>
  </si>
  <si>
    <t>VOLQUETE 15 M3</t>
  </si>
  <si>
    <t>GRUPO ELECTROGENO 116 HP 75 KW</t>
  </si>
  <si>
    <t>FAJA TRANSPORT 18"x5' M.E. 3KW 150 TON/H</t>
  </si>
  <si>
    <t>150 TN</t>
  </si>
  <si>
    <t>15 M3</t>
  </si>
  <si>
    <t>125-155</t>
  </si>
  <si>
    <t>3 YD3</t>
  </si>
  <si>
    <t>VOLQUETE DE 15 M3</t>
  </si>
  <si>
    <t>65-115</t>
  </si>
  <si>
    <t>50</t>
  </si>
  <si>
    <t>PLANTA ASFALTO EN CALIENTE 60-115 TON/H</t>
  </si>
  <si>
    <t>103.A</t>
  </si>
  <si>
    <t>6-8 TN</t>
  </si>
  <si>
    <t>CAMION</t>
  </si>
  <si>
    <t>TRAYLER</t>
  </si>
  <si>
    <t>SEMI</t>
  </si>
  <si>
    <t>DISTRIBUCION DE VIAJES</t>
  </si>
  <si>
    <t>COSTO MENSUAL S/. / MES</t>
  </si>
  <si>
    <t>COSTO TOTAL.</t>
  </si>
  <si>
    <t>COSTO MENSUAL</t>
  </si>
  <si>
    <t>Partida : 101.A MOVILIZACION Y DESMOVILIZACION DE EQUIPOS</t>
  </si>
  <si>
    <t>MES</t>
  </si>
  <si>
    <t xml:space="preserve">1.- MONTAJE Y DESMONTAJE DE PLANTA DE ASFALTO </t>
  </si>
  <si>
    <t>PRECIO (S/.)</t>
  </si>
  <si>
    <t>PARCIAL (S/.)</t>
  </si>
  <si>
    <t>MANO DE OBRA</t>
  </si>
  <si>
    <t>OPERARIO</t>
  </si>
  <si>
    <t>OFICIAL</t>
  </si>
  <si>
    <t>PEON</t>
  </si>
  <si>
    <t>MATERIALES</t>
  </si>
  <si>
    <t>SOLDADURA</t>
  </si>
  <si>
    <t>EQUIPO</t>
  </si>
  <si>
    <t>HERRAMIENTAS MANUALES</t>
  </si>
  <si>
    <t>CARGADOR SOBRE LLANTAS 100 - 115 HP 2-2.25 YD3</t>
  </si>
  <si>
    <t>SUBPARTIDAS</t>
  </si>
  <si>
    <t>CONCRETO (F'C=210 KG/CM2)</t>
  </si>
  <si>
    <t>2.- INSTALACION Y DESINSTALACION DE PLANTA DE CHANCADORA</t>
  </si>
  <si>
    <t>3.- MONTAJE Y DESMONTAJE DE ZARANDAS VIBRATORIAS</t>
  </si>
  <si>
    <t>*</t>
  </si>
  <si>
    <t>**</t>
  </si>
  <si>
    <t>Equipos considerados en los gastos generales y en el Costo directo</t>
  </si>
  <si>
    <t>HH</t>
  </si>
  <si>
    <t>%MO</t>
  </si>
  <si>
    <t>HM</t>
  </si>
  <si>
    <t>M3</t>
  </si>
  <si>
    <t>ACERO DE REFUERZO*</t>
  </si>
  <si>
    <t>ENCOFRADO Y DESENCOFRADO*</t>
  </si>
  <si>
    <t>M2</t>
  </si>
  <si>
    <t>EQUIPOS</t>
  </si>
  <si>
    <t>Volquete 15 m3</t>
  </si>
  <si>
    <t>MANTENIMIENTO DE TRANSITO Y SEGURIDAD VIAL</t>
  </si>
  <si>
    <t>PAVIMENTADORA SOBRE ORUGAS</t>
  </si>
  <si>
    <t>69</t>
  </si>
  <si>
    <t>10`-16`</t>
  </si>
  <si>
    <t>GRUA MECANICA 127 HP 18 TON 9M</t>
  </si>
  <si>
    <t>TRACTOR DE ORUGAS DE 140-160 HP</t>
  </si>
  <si>
    <t>140-160</t>
  </si>
  <si>
    <t>CAMION IMPRIMADOR 6x2 178-210 HP 1,800 G</t>
  </si>
  <si>
    <t>BARREDORA MECANICA</t>
  </si>
  <si>
    <t>10-20 HP</t>
  </si>
  <si>
    <t>101-135</t>
  </si>
  <si>
    <t>10-12 TN</t>
  </si>
  <si>
    <t xml:space="preserve">EQUIPO MINIMO REFERENCIAL </t>
  </si>
  <si>
    <t>C) MONTAJE Y DESMONTAJE DE PLANTA DE ASFALTO*</t>
  </si>
  <si>
    <t>CAMIONETA PICK-UP 4x4  107HP 1 TON.</t>
  </si>
  <si>
    <t>Se considera que las plantas se cambiaran de posicion, por lo cual se considera dos veces el montaje e instalacion de estas</t>
  </si>
  <si>
    <t xml:space="preserve">EQUIPO MECANICO </t>
  </si>
  <si>
    <t xml:space="preserve">Capataz </t>
  </si>
  <si>
    <t xml:space="preserve">CAPATAZ </t>
  </si>
  <si>
    <t>CAMION CISTERNA 4 X 2 (AGUA) 2,000 gl</t>
  </si>
  <si>
    <t>2000GL</t>
  </si>
  <si>
    <t xml:space="preserve">PROYECTO   </t>
  </si>
  <si>
    <t>ESTUDIO DEFINITIVO PARA LA CONSTRUCCIÓN Y MEJORAMIENTÒ</t>
  </si>
  <si>
    <t>DE LA CARRETERA CUSCO - QUILLABAMBA</t>
  </si>
  <si>
    <t>TRAMO</t>
  </si>
  <si>
    <t>ALFAMAYO - CHAULLAY - QUILLABAMBA</t>
  </si>
  <si>
    <t xml:space="preserve">CONSULTOR </t>
  </si>
  <si>
    <t>CONSORCIO QUILLABAMBA</t>
  </si>
  <si>
    <t>MOTONIVELADORA DE 145 HP</t>
  </si>
  <si>
    <t>145</t>
  </si>
  <si>
    <t>Herramientas manuales</t>
  </si>
  <si>
    <t>CUADRILLA</t>
  </si>
  <si>
    <t>Cargador S/Llantas 125-155 HP 3 Yd3</t>
  </si>
  <si>
    <t>Motoniveladora 145 HP</t>
  </si>
  <si>
    <t>Camion cisterna 4 X 2 (AGUA) 2,000 gl</t>
  </si>
  <si>
    <t>Rodillo liso vibratorio autop 10-12 Ton</t>
  </si>
  <si>
    <t>SEÑALES AMBIENTALES PROVISIONALES</t>
  </si>
  <si>
    <t>LAMPARAS DESTELLANTES</t>
  </si>
  <si>
    <t>CINTA DE SEGURIDAD</t>
  </si>
  <si>
    <t>ROLLO</t>
  </si>
  <si>
    <t>UNIDAD</t>
  </si>
  <si>
    <t>U</t>
  </si>
  <si>
    <t>MALLA DE SEGURIDAD</t>
  </si>
  <si>
    <t>M</t>
  </si>
  <si>
    <t>EST</t>
  </si>
  <si>
    <t>Lastrado / material zarandeado</t>
  </si>
  <si>
    <t>m3</t>
  </si>
  <si>
    <t>Estructuras cruce temporal</t>
  </si>
  <si>
    <t>MATERIALES PARA SEÑALIZACION Y SEGURIDAD</t>
  </si>
  <si>
    <t>Materiales para Señalización y Seguridad</t>
  </si>
  <si>
    <t>TIEMPO DE EJECUCIÓN</t>
  </si>
  <si>
    <t>MESES</t>
  </si>
  <si>
    <t>PLATAFORMA</t>
  </si>
  <si>
    <t>8 TON</t>
  </si>
  <si>
    <t>12 TON</t>
  </si>
  <si>
    <t>19 TON</t>
  </si>
  <si>
    <t>35 TON</t>
  </si>
  <si>
    <t>40TON</t>
  </si>
  <si>
    <t>CARGADOR S/LLANTAS 125-155 HP 3 YD3.</t>
  </si>
  <si>
    <t>CHANCAD.PRIM.SECUND.5FAJAS 75HP 46-70 T/</t>
  </si>
  <si>
    <t>EXCAVADORA SOBRE ORUGAS 115-165 HP 0.75 - 1.4 YD3</t>
  </si>
  <si>
    <t>FAJA TRANSPORTADORA 150 TON/HS</t>
  </si>
  <si>
    <t>GRUA HIDRAULICA AUTOPROPULSADA 18 TON</t>
  </si>
  <si>
    <t>MINICARGADOR 70 HP</t>
  </si>
  <si>
    <t>MOTONIVELADORA 145 - 150 HP</t>
  </si>
  <si>
    <t>PAVIMENTADORA SOBRE LLANTAS 69 HP 10-16</t>
  </si>
  <si>
    <t>PLANTA DE ASFALTO EN CALIENTE 60-115 TON/HS</t>
  </si>
  <si>
    <t>RETROEXCAVADORA SOBRE LLANTAS 58 HP 1 YD3</t>
  </si>
  <si>
    <t>RODILLO LISO VIBRATORIO AUTOP 101-135 HP 10-12T</t>
  </si>
  <si>
    <t>RODILLO NEUMATICO AUTOPROP 135 HP 9-26 TON</t>
  </si>
  <si>
    <t>RODILLO TANDEM VIBRATORIO AUTOPROPULSADO 111 - 130 HP 9-11 TON</t>
  </si>
  <si>
    <t>ZARANDA VIBRATORIA 4" x 6" x 14 M.E. 15 HP</t>
  </si>
  <si>
    <t>DURACION DEL VIAJE DE IDA</t>
  </si>
  <si>
    <t>FACTOR DE RETORNO VACIO</t>
  </si>
  <si>
    <t>COSTO HORARIO ALQUILER EQUIPO</t>
  </si>
  <si>
    <t>MOVILIZACION DE EQUIPO TRANSPORTADO</t>
  </si>
  <si>
    <t>DESMOVILIZACION DE EQUIPO TRANSPORTADO</t>
  </si>
  <si>
    <t>SEGUROS DE TRANSPORTE</t>
  </si>
  <si>
    <t>TOTAL MOVILIZACION Y  DESMOVILIZACION EQUIPO TRANSPORTADO</t>
  </si>
  <si>
    <t>MOTONIVELADORA 125 HP</t>
  </si>
  <si>
    <t>TRACTOR DE ORUGAS DE 300-350 HP</t>
  </si>
  <si>
    <t>B ) EQUIPO AUTOTRANSPORTADO</t>
  </si>
  <si>
    <t>CANT.</t>
  </si>
  <si>
    <t>300-350</t>
  </si>
  <si>
    <t>CARGADOR S/LLANTAS 200-250 HP  4 -4.1YD3.</t>
  </si>
  <si>
    <t>200-250</t>
  </si>
  <si>
    <t>4 - 4.1 YD3</t>
  </si>
  <si>
    <t>E) INSTALACION Y DESINSTALACION DE ZARANDA VIBRATORIA*</t>
  </si>
  <si>
    <t>D) INSTALACION Y DESINSTALACION DE CHANCADORA*</t>
  </si>
  <si>
    <t>58</t>
  </si>
  <si>
    <t>1 YD3</t>
  </si>
  <si>
    <t xml:space="preserve">RODILLO LISO VIBR AUTOP </t>
  </si>
  <si>
    <t>9-26T</t>
  </si>
  <si>
    <t>RODILLO NEUMATICO AUTOP</t>
  </si>
  <si>
    <t>135</t>
  </si>
  <si>
    <t>9-11T</t>
  </si>
  <si>
    <t>111-130</t>
  </si>
  <si>
    <t>RODILLO TANDEM ESTATIC AUTOP</t>
  </si>
</sst>
</file>

<file path=xl/styles.xml><?xml version="1.0" encoding="utf-8"?>
<styleSheet xmlns="http://schemas.openxmlformats.org/spreadsheetml/2006/main">
  <numFmts count="72">
    <numFmt numFmtId="5" formatCode="&quot; &quot;#,##0;&quot; &quot;\-#,##0"/>
    <numFmt numFmtId="6" formatCode="&quot; &quot;#,##0;[Red]&quot; &quot;\-#,##0"/>
    <numFmt numFmtId="7" formatCode="&quot; &quot;#,##0.00;&quot; &quot;\-#,##0.00"/>
    <numFmt numFmtId="8" formatCode="&quot; &quot;#,##0.00;[Red]&quot; &quot;\-#,##0.00"/>
    <numFmt numFmtId="42" formatCode="_ &quot; &quot;* #,##0_ ;_ &quot; &quot;* \-#,##0_ ;_ &quot; &quot;* &quot;-&quot;_ ;_ @_ "/>
    <numFmt numFmtId="41" formatCode="_ * #,##0_ ;_ * \-#,##0_ ;_ * &quot;-&quot;_ ;_ @_ "/>
    <numFmt numFmtId="44" formatCode="_ &quot; &quot;* #,##0.00_ ;_ &quot; &quot;* \-#,##0.00_ ;_ &quot; 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\ &quot; &quot;;\-#,##0\ &quot; &quot;"/>
    <numFmt numFmtId="193" formatCode="#,##0\ &quot; &quot;;[Red]\-#,##0\ &quot; &quot;"/>
    <numFmt numFmtId="194" formatCode="#,##0.00\ &quot; &quot;;\-#,##0.00\ &quot; &quot;"/>
    <numFmt numFmtId="195" formatCode="#,##0.00\ &quot; &quot;;[Red]\-#,##0.00\ &quot; &quot;"/>
    <numFmt numFmtId="196" formatCode="_-* #,##0\ &quot; &quot;_-;\-* #,##0\ &quot; &quot;_-;_-* &quot;-&quot;\ &quot; &quot;_-;_-@_-"/>
    <numFmt numFmtId="197" formatCode="_-* #,##0\ _ _-;\-* #,##0\ _ _-;_-* &quot;-&quot;\ _ _-;_-@_-"/>
    <numFmt numFmtId="198" formatCode="_-* #,##0.00\ &quot; &quot;_-;\-* #,##0.00\ &quot; &quot;_-;_-* &quot;-&quot;??\ &quot; &quot;_-;_-@_-"/>
    <numFmt numFmtId="199" formatCode="_-* #,##0.00\ _ _-;\-* #,##0.00\ _ _-;_-* &quot;-&quot;??\ _ _-;_-@_-"/>
    <numFmt numFmtId="200" formatCode="&quot; &quot;\ #,##0_);\(&quot; &quot;\ #,##0\)"/>
    <numFmt numFmtId="201" formatCode="&quot; &quot;\ #,##0_);[Red]\(&quot; &quot;\ #,##0\)"/>
    <numFmt numFmtId="202" formatCode="&quot; &quot;\ #,##0.00_);\(&quot; &quot;\ #,##0.00\)"/>
    <numFmt numFmtId="203" formatCode="&quot; &quot;\ #,##0.00_);[Red]\(&quot; &quot;\ #,##0.00\)"/>
    <numFmt numFmtId="204" formatCode="_(&quot; &quot;\ * #,##0_);_(&quot; &quot;\ * \(#,##0\);_(&quot; &quot;\ * &quot;-&quot;_);_(@_)"/>
    <numFmt numFmtId="205" formatCode="_(&quot; &quot;\ * #,##0.00_);_(&quot; &quot;\ * \(#,##0.00\);_(&quot; &quot;\ * &quot;-&quot;??_);_(@_)"/>
    <numFmt numFmtId="206" formatCode="&quot; &quot;\ #,##0;&quot; &quot;\ \-#,##0"/>
    <numFmt numFmtId="207" formatCode="&quot; &quot;\ #,##0;[Red]&quot; &quot;\ \-#,##0"/>
    <numFmt numFmtId="208" formatCode="&quot; &quot;\ #,##0.00;&quot; &quot;\ \-#,##0.00"/>
    <numFmt numFmtId="209" formatCode="&quot; &quot;\ #,##0.00;[Red]&quot; &quot;\ \-#,##0.00"/>
    <numFmt numFmtId="210" formatCode="_ &quot; &quot;\ * #,##0_ ;_ &quot; &quot;\ * \-#,##0_ ;_ &quot; &quot;\ * &quot;-&quot;_ ;_ @_ "/>
    <numFmt numFmtId="211" formatCode="_ &quot; &quot;\ * #,##0.00_ ;_ &quot; &quot;\ * \-#,##0.00_ ;_ &quot; &quot;\ * &quot;-&quot;??_ ;_ @_ "/>
    <numFmt numFmtId="212" formatCode="_(&quot;S/.&quot;* #,##0_);_(&quot;S/.&quot;* \(#,##0\);_(&quot;S/.&quot;* &quot;-&quot;_);_(@_)"/>
    <numFmt numFmtId="213" formatCode="_(&quot;S/.&quot;* #,##0.00_);_(&quot;S/.&quot;* \(#,##0.00\);_(&quot;S/.&quot;* &quot;-&quot;??_);_(@_)"/>
    <numFmt numFmtId="214" formatCode="#,##0.000"/>
    <numFmt numFmtId="215" formatCode="0.000"/>
    <numFmt numFmtId="216" formatCode="0_)"/>
    <numFmt numFmtId="217" formatCode="mmmm\-yy"/>
    <numFmt numFmtId="218" formatCode="0.0"/>
    <numFmt numFmtId="219" formatCode="#,##0.0"/>
    <numFmt numFmtId="220" formatCode="0.00000000"/>
    <numFmt numFmtId="221" formatCode="0.0000000"/>
    <numFmt numFmtId="222" formatCode="0.000000"/>
    <numFmt numFmtId="223" formatCode="0.00000"/>
    <numFmt numFmtId="224" formatCode="0.0000"/>
    <numFmt numFmtId="225" formatCode="#,##0.0000_);\-#,##0.0000"/>
    <numFmt numFmtId="226" formatCode="#,##0.00_ ;\-#,##0.00\ "/>
    <numFmt numFmtId="227" formatCode="General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Century Gothic"/>
      <family val="2"/>
    </font>
    <font>
      <sz val="12"/>
      <name val="Century Gothic"/>
      <family val="2"/>
    </font>
    <font>
      <b/>
      <sz val="9"/>
      <color indexed="53"/>
      <name val="Century Gothic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Futura Md BT"/>
      <family val="2"/>
    </font>
    <font>
      <sz val="8.05"/>
      <color indexed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0"/>
      <name val="Futura Md BT"/>
      <family val="2"/>
    </font>
    <font>
      <b/>
      <sz val="11"/>
      <name val="Futura Md BT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Century Gothic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6"/>
      <color indexed="12"/>
      <name val="Arial"/>
      <family val="2"/>
    </font>
    <font>
      <u val="single"/>
      <sz val="11"/>
      <color indexed="12"/>
      <name val="Arial Narrow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4"/>
      <color indexed="9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8" fillId="6" borderId="0" applyNumberFormat="0" applyBorder="0" applyAlignment="0" applyProtection="0"/>
    <xf numFmtId="0" fontId="39" fillId="11" borderId="1" applyNumberFormat="0" applyAlignment="0" applyProtection="0"/>
    <xf numFmtId="0" fontId="35" fillId="0" borderId="0">
      <alignment/>
      <protection/>
    </xf>
    <xf numFmtId="0" fontId="40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43" fillId="7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17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5" fillId="7" borderId="0" applyNumberFormat="0" applyBorder="0" applyAlignment="0" applyProtection="0"/>
    <xf numFmtId="0" fontId="6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11" borderId="5" applyNumberFormat="0" applyAlignment="0" applyProtection="0"/>
    <xf numFmtId="0" fontId="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61" applyFont="1" applyFill="1">
      <alignment/>
      <protection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" fontId="12" fillId="0" borderId="0" xfId="61" applyNumberFormat="1" applyFont="1" applyFill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/>
    </xf>
    <xf numFmtId="0" fontId="22" fillId="0" borderId="19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1" fillId="0" borderId="0" xfId="56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2" fontId="10" fillId="0" borderId="0" xfId="61" applyNumberFormat="1" applyFont="1" applyFill="1">
      <alignment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4" fontId="0" fillId="0" borderId="20" xfId="0" applyNumberFormat="1" applyBorder="1" applyAlignment="1">
      <alignment/>
    </xf>
    <xf numFmtId="4" fontId="1" fillId="0" borderId="21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191" fontId="25" fillId="0" borderId="0" xfId="56" applyFont="1" applyAlignment="1">
      <alignment horizontal="center"/>
    </xf>
    <xf numFmtId="191" fontId="17" fillId="0" borderId="0" xfId="56" applyFont="1" applyAlignment="1">
      <alignment horizontal="center"/>
    </xf>
    <xf numFmtId="4" fontId="0" fillId="0" borderId="12" xfId="0" applyNumberFormat="1" applyBorder="1" applyAlignment="1">
      <alignment vertical="center"/>
    </xf>
    <xf numFmtId="191" fontId="17" fillId="0" borderId="0" xfId="56" applyFont="1" applyAlignment="1">
      <alignment horizontal="left"/>
    </xf>
    <xf numFmtId="0" fontId="27" fillId="0" borderId="0" xfId="0" applyFont="1" applyAlignment="1">
      <alignment horizontal="left"/>
    </xf>
    <xf numFmtId="0" fontId="11" fillId="0" borderId="0" xfId="61" applyFont="1" applyFill="1">
      <alignment/>
      <protection/>
    </xf>
    <xf numFmtId="4" fontId="11" fillId="0" borderId="0" xfId="61" applyNumberFormat="1" applyFont="1" applyFill="1">
      <alignment/>
      <protection/>
    </xf>
    <xf numFmtId="0" fontId="28" fillId="0" borderId="0" xfId="0" applyFont="1" applyAlignment="1">
      <alignment horizontal="center"/>
    </xf>
    <xf numFmtId="4" fontId="29" fillId="0" borderId="0" xfId="61" applyNumberFormat="1" applyFont="1" applyFill="1">
      <alignment/>
      <protection/>
    </xf>
    <xf numFmtId="0" fontId="29" fillId="0" borderId="0" xfId="61" applyFont="1" applyFill="1">
      <alignment/>
      <protection/>
    </xf>
    <xf numFmtId="1" fontId="18" fillId="18" borderId="0" xfId="56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30" fillId="0" borderId="0" xfId="61" applyFont="1" applyFill="1">
      <alignment/>
      <protection/>
    </xf>
    <xf numFmtId="0" fontId="31" fillId="0" borderId="0" xfId="61" applyFont="1" applyFill="1">
      <alignment/>
      <protection/>
    </xf>
    <xf numFmtId="4" fontId="30" fillId="0" borderId="0" xfId="61" applyNumberFormat="1" applyFont="1" applyFill="1">
      <alignment/>
      <protection/>
    </xf>
    <xf numFmtId="0" fontId="30" fillId="0" borderId="0" xfId="61" applyFont="1" applyFill="1" applyAlignment="1">
      <alignment horizontal="right"/>
      <protection/>
    </xf>
    <xf numFmtId="4" fontId="30" fillId="0" borderId="0" xfId="61" applyNumberFormat="1" applyFont="1" applyFill="1" applyAlignment="1">
      <alignment horizontal="right"/>
      <protection/>
    </xf>
    <xf numFmtId="4" fontId="30" fillId="0" borderId="0" xfId="61" applyNumberFormat="1" applyFont="1" applyFill="1" applyAlignment="1">
      <alignment horizontal="center"/>
      <protection/>
    </xf>
    <xf numFmtId="0" fontId="32" fillId="0" borderId="0" xfId="61" applyFont="1" applyFill="1">
      <alignment/>
      <protection/>
    </xf>
    <xf numFmtId="4" fontId="32" fillId="0" borderId="0" xfId="61" applyNumberFormat="1" applyFont="1" applyFill="1">
      <alignment/>
      <protection/>
    </xf>
    <xf numFmtId="4" fontId="31" fillId="0" borderId="21" xfId="61" applyNumberFormat="1" applyFont="1" applyFill="1" applyBorder="1">
      <alignment/>
      <protection/>
    </xf>
    <xf numFmtId="4" fontId="31" fillId="0" borderId="0" xfId="61" applyNumberFormat="1" applyFont="1" applyFill="1" applyBorder="1">
      <alignment/>
      <protection/>
    </xf>
    <xf numFmtId="0" fontId="30" fillId="0" borderId="0" xfId="61" applyFont="1" applyFill="1" applyAlignment="1">
      <alignment horizontal="center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/>
    </xf>
    <xf numFmtId="191" fontId="34" fillId="0" borderId="0" xfId="56" applyFont="1" applyAlignment="1">
      <alignment/>
    </xf>
    <xf numFmtId="9" fontId="34" fillId="0" borderId="0" xfId="0" applyNumberFormat="1" applyFont="1" applyAlignment="1">
      <alignment/>
    </xf>
    <xf numFmtId="191" fontId="34" fillId="0" borderId="0" xfId="0" applyNumberFormat="1" applyFont="1" applyAlignment="1">
      <alignment/>
    </xf>
    <xf numFmtId="191" fontId="34" fillId="0" borderId="0" xfId="56" applyFont="1" applyFill="1" applyAlignment="1">
      <alignment/>
    </xf>
    <xf numFmtId="191" fontId="33" fillId="0" borderId="19" xfId="56" applyFont="1" applyBorder="1" applyAlignment="1">
      <alignment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191" fontId="7" fillId="0" borderId="19" xfId="56" applyFont="1" applyFill="1" applyBorder="1" applyAlignment="1">
      <alignment/>
    </xf>
    <xf numFmtId="191" fontId="24" fillId="0" borderId="24" xfId="56" applyFont="1" applyFill="1" applyBorder="1" applyAlignment="1">
      <alignment/>
    </xf>
    <xf numFmtId="191" fontId="7" fillId="0" borderId="23" xfId="56" applyFont="1" applyFill="1" applyBorder="1" applyAlignment="1">
      <alignment/>
    </xf>
    <xf numFmtId="191" fontId="0" fillId="0" borderId="0" xfId="56" applyFont="1" applyBorder="1" applyAlignment="1">
      <alignment/>
    </xf>
    <xf numFmtId="191" fontId="0" fillId="0" borderId="0" xfId="56" applyFont="1" applyFill="1" applyBorder="1" applyAlignment="1">
      <alignment/>
    </xf>
    <xf numFmtId="0" fontId="1" fillId="0" borderId="0" xfId="0" applyFont="1" applyFill="1" applyAlignment="1">
      <alignment/>
    </xf>
    <xf numFmtId="1" fontId="54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left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3" fontId="54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225" fontId="22" fillId="0" borderId="0" xfId="0" applyNumberFormat="1" applyFont="1" applyAlignment="1">
      <alignment horizontal="right" vertical="center"/>
    </xf>
    <xf numFmtId="0" fontId="0" fillId="0" borderId="15" xfId="0" applyFont="1" applyFill="1" applyBorder="1" applyAlignment="1">
      <alignment/>
    </xf>
    <xf numFmtId="191" fontId="0" fillId="0" borderId="24" xfId="56" applyFont="1" applyFill="1" applyBorder="1" applyAlignment="1">
      <alignment/>
    </xf>
    <xf numFmtId="49" fontId="0" fillId="0" borderId="24" xfId="0" applyNumberFormat="1" applyFont="1" applyBorder="1" applyAlignment="1">
      <alignment horizontal="center"/>
    </xf>
    <xf numFmtId="16" fontId="0" fillId="0" borderId="24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91" fontId="0" fillId="0" borderId="25" xfId="56" applyFont="1" applyFill="1" applyBorder="1" applyAlignment="1">
      <alignment/>
    </xf>
    <xf numFmtId="0" fontId="52" fillId="0" borderId="0" xfId="35" applyFont="1" applyAlignment="1">
      <alignment horizontal="left"/>
      <protection/>
    </xf>
    <xf numFmtId="0" fontId="53" fillId="0" borderId="0" xfId="35" applyFont="1" applyAlignment="1">
      <alignment horizontal="left"/>
      <protection/>
    </xf>
    <xf numFmtId="191" fontId="1" fillId="0" borderId="13" xfId="56" applyFont="1" applyFill="1" applyBorder="1" applyAlignment="1">
      <alignment horizontal="center"/>
    </xf>
    <xf numFmtId="3" fontId="1" fillId="0" borderId="20" xfId="56" applyNumberFormat="1" applyFont="1" applyFill="1" applyBorder="1" applyAlignment="1">
      <alignment horizontal="center"/>
    </xf>
    <xf numFmtId="191" fontId="1" fillId="0" borderId="14" xfId="56" applyFont="1" applyFill="1" applyBorder="1" applyAlignment="1">
      <alignment horizontal="center"/>
    </xf>
    <xf numFmtId="191" fontId="1" fillId="0" borderId="20" xfId="56" applyFont="1" applyFill="1" applyBorder="1" applyAlignment="1">
      <alignment horizontal="center"/>
    </xf>
    <xf numFmtId="1" fontId="1" fillId="0" borderId="20" xfId="56" applyNumberFormat="1" applyFont="1" applyFill="1" applyBorder="1" applyAlignment="1">
      <alignment horizontal="center"/>
    </xf>
    <xf numFmtId="191" fontId="1" fillId="0" borderId="17" xfId="56" applyFont="1" applyFill="1" applyBorder="1" applyAlignment="1">
      <alignment horizontal="center"/>
    </xf>
    <xf numFmtId="3" fontId="1" fillId="0" borderId="25" xfId="56" applyNumberFormat="1" applyFont="1" applyFill="1" applyBorder="1" applyAlignment="1">
      <alignment horizontal="center"/>
    </xf>
    <xf numFmtId="191" fontId="1" fillId="0" borderId="18" xfId="56" applyFont="1" applyFill="1" applyBorder="1" applyAlignment="1">
      <alignment horizontal="center"/>
    </xf>
    <xf numFmtId="191" fontId="1" fillId="0" borderId="25" xfId="56" applyFont="1" applyFill="1" applyBorder="1" applyAlignment="1">
      <alignment horizontal="center"/>
    </xf>
    <xf numFmtId="1" fontId="1" fillId="0" borderId="25" xfId="56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91" fontId="7" fillId="0" borderId="0" xfId="56" applyFont="1" applyFill="1" applyBorder="1" applyAlignment="1">
      <alignment/>
    </xf>
    <xf numFmtId="191" fontId="24" fillId="0" borderId="0" xfId="56" applyFont="1" applyFill="1" applyBorder="1" applyAlignment="1">
      <alignment/>
    </xf>
    <xf numFmtId="10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16" xfId="0" applyNumberFormat="1" applyBorder="1" applyAlignment="1">
      <alignment/>
    </xf>
    <xf numFmtId="0" fontId="55" fillId="0" borderId="0" xfId="61" applyFont="1" applyFill="1" applyAlignment="1" applyProtection="1">
      <alignment horizontal="center"/>
      <protection/>
    </xf>
    <xf numFmtId="0" fontId="55" fillId="0" borderId="0" xfId="61" applyFont="1" applyFill="1">
      <alignment/>
      <protection/>
    </xf>
    <xf numFmtId="0" fontId="56" fillId="0" borderId="0" xfId="61" applyFont="1" applyFill="1">
      <alignment/>
      <protection/>
    </xf>
    <xf numFmtId="4" fontId="56" fillId="0" borderId="0" xfId="61" applyNumberFormat="1" applyFont="1" applyFill="1" applyProtection="1">
      <alignment/>
      <protection/>
    </xf>
    <xf numFmtId="39" fontId="56" fillId="0" borderId="0" xfId="61" applyNumberFormat="1" applyFont="1" applyFill="1" applyProtection="1">
      <alignment/>
      <protection/>
    </xf>
    <xf numFmtId="0" fontId="57" fillId="18" borderId="13" xfId="61" applyFont="1" applyFill="1" applyBorder="1">
      <alignment/>
      <protection/>
    </xf>
    <xf numFmtId="4" fontId="1" fillId="18" borderId="20" xfId="56" applyNumberFormat="1" applyFont="1" applyFill="1" applyBorder="1" applyAlignment="1">
      <alignment horizontal="center"/>
    </xf>
    <xf numFmtId="191" fontId="1" fillId="18" borderId="15" xfId="56" applyFont="1" applyFill="1" applyBorder="1" applyAlignment="1">
      <alignment horizontal="center"/>
    </xf>
    <xf numFmtId="4" fontId="57" fillId="18" borderId="24" xfId="61" applyNumberFormat="1" applyFont="1" applyFill="1" applyBorder="1" applyAlignment="1" applyProtection="1">
      <alignment horizontal="center"/>
      <protection/>
    </xf>
    <xf numFmtId="191" fontId="1" fillId="18" borderId="20" xfId="56" applyFont="1" applyFill="1" applyBorder="1" applyAlignment="1">
      <alignment horizontal="center"/>
    </xf>
    <xf numFmtId="191" fontId="1" fillId="18" borderId="10" xfId="56" applyFont="1" applyFill="1" applyBorder="1" applyAlignment="1">
      <alignment horizontal="center"/>
    </xf>
    <xf numFmtId="191" fontId="1" fillId="18" borderId="24" xfId="56" applyFont="1" applyFill="1" applyBorder="1" applyAlignment="1">
      <alignment horizontal="center"/>
    </xf>
    <xf numFmtId="191" fontId="1" fillId="18" borderId="16" xfId="56" applyFont="1" applyFill="1" applyBorder="1" applyAlignment="1">
      <alignment horizontal="center"/>
    </xf>
    <xf numFmtId="0" fontId="57" fillId="18" borderId="17" xfId="61" applyFont="1" applyFill="1" applyBorder="1" applyAlignment="1">
      <alignment horizontal="center"/>
      <protection/>
    </xf>
    <xf numFmtId="0" fontId="57" fillId="18" borderId="18" xfId="61" applyFont="1" applyFill="1" applyBorder="1" applyAlignment="1">
      <alignment horizontal="center"/>
      <protection/>
    </xf>
    <xf numFmtId="4" fontId="1" fillId="18" borderId="25" xfId="56" applyNumberFormat="1" applyFont="1" applyFill="1" applyBorder="1" applyAlignment="1">
      <alignment horizontal="center"/>
    </xf>
    <xf numFmtId="191" fontId="1" fillId="18" borderId="25" xfId="56" applyFont="1" applyFill="1" applyBorder="1" applyAlignment="1">
      <alignment horizontal="center"/>
    </xf>
    <xf numFmtId="191" fontId="1" fillId="18" borderId="11" xfId="56" applyFont="1" applyFill="1" applyBorder="1" applyAlignment="1">
      <alignment horizontal="center"/>
    </xf>
    <xf numFmtId="1" fontId="58" fillId="0" borderId="24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191" fontId="58" fillId="0" borderId="24" xfId="56" applyFont="1" applyFill="1" applyBorder="1" applyAlignment="1">
      <alignment horizontal="center" vertical="center"/>
    </xf>
    <xf numFmtId="191" fontId="58" fillId="0" borderId="24" xfId="56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Border="1" applyAlignment="1">
      <alignment horizontal="center" vertical="center"/>
    </xf>
    <xf numFmtId="191" fontId="59" fillId="0" borderId="24" xfId="56" applyFont="1" applyFill="1" applyBorder="1" applyAlignment="1">
      <alignment horizontal="center" vertical="center"/>
    </xf>
    <xf numFmtId="0" fontId="55" fillId="0" borderId="25" xfId="61" applyFont="1" applyFill="1" applyBorder="1" applyAlignment="1">
      <alignment/>
      <protection/>
    </xf>
    <xf numFmtId="191" fontId="1" fillId="0" borderId="23" xfId="56" applyFont="1" applyFill="1" applyBorder="1" applyAlignment="1" applyProtection="1">
      <alignment horizontal="center" vertical="center"/>
      <protection/>
    </xf>
    <xf numFmtId="0" fontId="55" fillId="0" borderId="0" xfId="61" applyFont="1" applyFill="1" applyBorder="1" applyAlignment="1">
      <alignment/>
      <protection/>
    </xf>
    <xf numFmtId="0" fontId="0" fillId="0" borderId="12" xfId="61" applyFont="1" applyFill="1" applyBorder="1" applyAlignment="1" applyProtection="1">
      <alignment vertical="center"/>
      <protection/>
    </xf>
    <xf numFmtId="0" fontId="1" fillId="0" borderId="22" xfId="61" applyFont="1" applyFill="1" applyBorder="1" applyAlignment="1">
      <alignment vertical="center"/>
      <protection/>
    </xf>
    <xf numFmtId="4" fontId="1" fillId="0" borderId="23" xfId="61" applyNumberFormat="1" applyFont="1" applyFill="1" applyBorder="1" applyAlignment="1">
      <alignment vertical="center"/>
      <protection/>
    </xf>
    <xf numFmtId="191" fontId="58" fillId="0" borderId="23" xfId="56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11" fillId="0" borderId="11" xfId="61" applyNumberFormat="1" applyFont="1" applyFill="1" applyBorder="1">
      <alignment/>
      <protection/>
    </xf>
    <xf numFmtId="191" fontId="55" fillId="0" borderId="23" xfId="56" applyFont="1" applyFill="1" applyBorder="1" applyAlignment="1" applyProtection="1">
      <alignment horizontal="center" vertical="center"/>
      <protection/>
    </xf>
    <xf numFmtId="0" fontId="58" fillId="0" borderId="0" xfId="61" applyFont="1" applyFill="1">
      <alignment/>
      <protection/>
    </xf>
    <xf numFmtId="4" fontId="58" fillId="0" borderId="0" xfId="61" applyNumberFormat="1" applyFont="1" applyFill="1">
      <alignment/>
      <protection/>
    </xf>
    <xf numFmtId="4" fontId="1" fillId="0" borderId="19" xfId="61" applyNumberFormat="1" applyFont="1" applyFill="1" applyBorder="1" applyAlignment="1">
      <alignment horizontal="center" vertical="center"/>
      <protection/>
    </xf>
    <xf numFmtId="39" fontId="1" fillId="0" borderId="19" xfId="61" applyNumberFormat="1" applyFont="1" applyFill="1" applyBorder="1" applyAlignment="1" applyProtection="1">
      <alignment horizontal="center" vertical="center" wrapText="1"/>
      <protection/>
    </xf>
    <xf numFmtId="39" fontId="1" fillId="0" borderId="23" xfId="61" applyNumberFormat="1" applyFont="1" applyFill="1" applyBorder="1" applyAlignment="1" applyProtection="1">
      <alignment horizontal="center" vertical="center" wrapText="1"/>
      <protection/>
    </xf>
    <xf numFmtId="3" fontId="58" fillId="0" borderId="19" xfId="61" applyNumberFormat="1" applyFont="1" applyFill="1" applyBorder="1" applyAlignment="1">
      <alignment horizontal="center"/>
      <protection/>
    </xf>
    <xf numFmtId="191" fontId="58" fillId="0" borderId="19" xfId="56" applyFont="1" applyFill="1" applyBorder="1" applyAlignment="1">
      <alignment horizontal="center"/>
    </xf>
    <xf numFmtId="0" fontId="58" fillId="0" borderId="0" xfId="61" applyFont="1" applyFill="1" applyBorder="1" applyAlignment="1">
      <alignment horizontal="left" vertical="center"/>
      <protection/>
    </xf>
    <xf numFmtId="4" fontId="58" fillId="0" borderId="0" xfId="61" applyNumberFormat="1" applyFont="1" applyFill="1" applyBorder="1" applyAlignment="1">
      <alignment horizontal="right" vertical="center"/>
      <protection/>
    </xf>
    <xf numFmtId="39" fontId="55" fillId="0" borderId="0" xfId="61" applyNumberFormat="1" applyFont="1" applyFill="1" applyBorder="1" applyAlignment="1" applyProtection="1">
      <alignment horizontal="right" vertical="center"/>
      <protection/>
    </xf>
    <xf numFmtId="0" fontId="58" fillId="0" borderId="0" xfId="61" applyFont="1" applyFill="1" applyAlignment="1">
      <alignment horizontal="left"/>
      <protection/>
    </xf>
    <xf numFmtId="4" fontId="58" fillId="0" borderId="0" xfId="61" applyNumberFormat="1" applyFont="1" applyFill="1" applyAlignment="1">
      <alignment horizontal="right"/>
      <protection/>
    </xf>
    <xf numFmtId="0" fontId="58" fillId="0" borderId="0" xfId="61" applyFont="1" applyFill="1" applyAlignment="1">
      <alignment horizontal="right"/>
      <protection/>
    </xf>
    <xf numFmtId="0" fontId="58" fillId="0" borderId="0" xfId="61" applyFont="1" applyFill="1" applyBorder="1" applyAlignment="1">
      <alignment horizontal="left"/>
      <protection/>
    </xf>
    <xf numFmtId="10" fontId="58" fillId="0" borderId="0" xfId="61" applyNumberFormat="1" applyFont="1" applyFill="1" applyAlignment="1">
      <alignment horizontal="center"/>
      <protection/>
    </xf>
    <xf numFmtId="10" fontId="61" fillId="0" borderId="0" xfId="61" applyNumberFormat="1" applyFont="1" applyFill="1" applyAlignment="1">
      <alignment horizontal="center"/>
      <protection/>
    </xf>
    <xf numFmtId="39" fontId="1" fillId="0" borderId="23" xfId="61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4" fontId="58" fillId="0" borderId="12" xfId="61" applyNumberFormat="1" applyFont="1" applyFill="1" applyBorder="1" applyAlignment="1">
      <alignment horizontal="right"/>
      <protection/>
    </xf>
    <xf numFmtId="4" fontId="58" fillId="0" borderId="23" xfId="61" applyNumberFormat="1" applyFont="1" applyFill="1" applyBorder="1" applyAlignment="1">
      <alignment horizontal="right"/>
      <protection/>
    </xf>
    <xf numFmtId="0" fontId="60" fillId="0" borderId="12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58" fillId="0" borderId="0" xfId="61" applyFont="1" applyFill="1" applyBorder="1" applyAlignment="1">
      <alignment horizontal="left"/>
      <protection/>
    </xf>
    <xf numFmtId="191" fontId="1" fillId="18" borderId="15" xfId="56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2" xfId="61" applyFont="1" applyFill="1" applyBorder="1" applyAlignment="1" applyProtection="1">
      <alignment horizontal="left" vertical="center"/>
      <protection/>
    </xf>
    <xf numFmtId="0" fontId="1" fillId="0" borderId="22" xfId="61" applyFont="1" applyFill="1" applyBorder="1" applyAlignment="1" applyProtection="1">
      <alignment horizontal="left" vertical="center"/>
      <protection/>
    </xf>
    <xf numFmtId="0" fontId="1" fillId="0" borderId="23" xfId="61" applyFont="1" applyFill="1" applyBorder="1" applyAlignment="1" applyProtection="1">
      <alignment horizontal="left" vertical="center"/>
      <protection/>
    </xf>
    <xf numFmtId="0" fontId="1" fillId="0" borderId="12" xfId="61" applyFont="1" applyFill="1" applyBorder="1" applyAlignment="1" applyProtection="1">
      <alignment horizontal="center" vertical="center"/>
      <protection/>
    </xf>
    <xf numFmtId="0" fontId="1" fillId="0" borderId="22" xfId="61" applyFont="1" applyFill="1" applyBorder="1" applyAlignment="1" applyProtection="1">
      <alignment horizontal="center" vertical="center"/>
      <protection/>
    </xf>
    <xf numFmtId="0" fontId="1" fillId="0" borderId="23" xfId="61" applyFont="1" applyFill="1" applyBorder="1" applyAlignment="1" applyProtection="1">
      <alignment horizontal="center" vertical="center"/>
      <protection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191" fontId="1" fillId="18" borderId="13" xfId="56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91" fontId="1" fillId="18" borderId="12" xfId="56" applyFont="1" applyFill="1" applyBorder="1" applyAlignment="1">
      <alignment horizontal="center" vertical="center" wrapText="1"/>
    </xf>
    <xf numFmtId="191" fontId="1" fillId="18" borderId="22" xfId="56" applyFont="1" applyFill="1" applyBorder="1" applyAlignment="1">
      <alignment horizontal="center" vertical="center" wrapText="1"/>
    </xf>
    <xf numFmtId="191" fontId="1" fillId="18" borderId="23" xfId="56" applyFont="1" applyFill="1" applyBorder="1" applyAlignment="1">
      <alignment horizontal="center" vertical="center" wrapText="1"/>
    </xf>
    <xf numFmtId="39" fontId="1" fillId="0" borderId="12" xfId="61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1" fontId="1" fillId="0" borderId="20" xfId="56" applyFont="1" applyFill="1" applyBorder="1" applyAlignment="1">
      <alignment horizontal="center" vertical="center"/>
    </xf>
    <xf numFmtId="191" fontId="1" fillId="0" borderId="25" xfId="5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_PPTO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illabamba\A%20entregar_julio%202009\remitidos_Ernesto\costos\8%20Equipo%20%20m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illabamba\A%20entregar_julio%202009\remitidos_Ernesto\costos\3.1%20COSTO%20EQUIPO%20MOV%20Y%20DESMO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Quillabamba\A%20entregar_julio%202009\remitidos_Ernesto\costos\2.2%20costos%20equip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</v>
          </cell>
        </row>
        <row r="11">
          <cell r="F11">
            <v>1</v>
          </cell>
        </row>
        <row r="12">
          <cell r="F12">
            <v>1</v>
          </cell>
        </row>
        <row r="14">
          <cell r="F14">
            <v>2</v>
          </cell>
        </row>
        <row r="20">
          <cell r="F20">
            <v>2</v>
          </cell>
        </row>
        <row r="21">
          <cell r="F21">
            <v>4</v>
          </cell>
        </row>
        <row r="22">
          <cell r="F22">
            <v>1</v>
          </cell>
        </row>
        <row r="30">
          <cell r="F30">
            <v>1</v>
          </cell>
        </row>
        <row r="34">
          <cell r="F34">
            <v>1</v>
          </cell>
        </row>
        <row r="35">
          <cell r="F35">
            <v>1</v>
          </cell>
        </row>
        <row r="39">
          <cell r="F39">
            <v>1</v>
          </cell>
        </row>
        <row r="42">
          <cell r="F42">
            <v>1</v>
          </cell>
        </row>
        <row r="46">
          <cell r="F4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v-Desm. ETAPA 1"/>
      <sheetName val="INSTA. DE PLANTA DE ASFALTO, CH"/>
      <sheetName val="Equip-mín ETAPA 1"/>
      <sheetName val="Topografia"/>
    </sheetNames>
    <sheetDataSet>
      <sheetData sheetId="2">
        <row r="11">
          <cell r="A11" t="str">
            <v>CAMIONETA PICK UP 4X2 C.SIMPLE 1 TON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E9">
            <v>109.46000000000001</v>
          </cell>
        </row>
        <row r="10">
          <cell r="E10">
            <v>40.36</v>
          </cell>
        </row>
        <row r="44">
          <cell r="E44">
            <v>222.32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view="pageLayout" zoomScaleSheetLayoutView="70" workbookViewId="0" topLeftCell="A1">
      <selection activeCell="G49" sqref="G49"/>
    </sheetView>
  </sheetViews>
  <sheetFormatPr defaultColWidth="11.421875" defaultRowHeight="12.75"/>
  <cols>
    <col min="1" max="1" width="12.7109375" style="9" customWidth="1"/>
    <col min="2" max="2" width="13.8515625" style="9" customWidth="1"/>
    <col min="3" max="3" width="61.00390625" style="9" customWidth="1"/>
    <col min="4" max="4" width="15.421875" style="12" customWidth="1"/>
    <col min="5" max="5" width="15.140625" style="9" customWidth="1"/>
    <col min="6" max="6" width="12.421875" style="9" customWidth="1"/>
    <col min="7" max="7" width="14.57421875" style="9" customWidth="1"/>
    <col min="8" max="9" width="15.140625" style="6" customWidth="1"/>
    <col min="10" max="11" width="11.421875" style="6" customWidth="1"/>
    <col min="12" max="12" width="12.00390625" style="6" bestFit="1" customWidth="1"/>
    <col min="13" max="16384" width="11.421875" style="6" customWidth="1"/>
  </cols>
  <sheetData>
    <row r="1" spans="1:13" s="10" customFormat="1" ht="12.75">
      <c r="A1" s="128" t="s">
        <v>135</v>
      </c>
      <c r="B1" s="129" t="s">
        <v>136</v>
      </c>
      <c r="C1" s="53"/>
      <c r="D1" s="53"/>
      <c r="E1" s="53"/>
      <c r="F1" s="11"/>
      <c r="G1" s="11"/>
      <c r="H1" s="11"/>
      <c r="I1" s="11"/>
      <c r="J1" s="11"/>
      <c r="K1" s="11"/>
      <c r="L1" s="11"/>
      <c r="M1" s="11"/>
    </row>
    <row r="2" spans="1:5" ht="17.25">
      <c r="A2" s="128"/>
      <c r="B2" s="129" t="s">
        <v>137</v>
      </c>
      <c r="C2" s="54"/>
      <c r="D2" s="55"/>
      <c r="E2" s="54"/>
    </row>
    <row r="3" spans="1:10" ht="16.5">
      <c r="A3" s="130" t="s">
        <v>138</v>
      </c>
      <c r="B3" s="129" t="s">
        <v>139</v>
      </c>
      <c r="C3" s="117"/>
      <c r="D3" s="117"/>
      <c r="E3" s="117"/>
      <c r="F3" s="117"/>
      <c r="G3" s="117"/>
      <c r="H3" s="117"/>
      <c r="I3" s="117"/>
      <c r="J3" s="117"/>
    </row>
    <row r="4" spans="1:7" ht="15.75">
      <c r="A4" s="128" t="s">
        <v>140</v>
      </c>
      <c r="B4" s="129" t="s">
        <v>141</v>
      </c>
      <c r="C4" s="56"/>
      <c r="D4" s="56"/>
      <c r="E4" s="56"/>
      <c r="F4" s="56"/>
      <c r="G4" s="56"/>
    </row>
    <row r="5" spans="1:7" ht="15.75">
      <c r="A5" s="56"/>
      <c r="B5" s="56"/>
      <c r="C5" s="56"/>
      <c r="D5" s="56"/>
      <c r="E5" s="56"/>
      <c r="F5" s="56"/>
      <c r="G5" s="56"/>
    </row>
    <row r="6" spans="1:7" ht="15.75">
      <c r="A6" s="56"/>
      <c r="B6" s="56"/>
      <c r="C6" s="56"/>
      <c r="D6" s="56"/>
      <c r="E6" s="56"/>
      <c r="F6" s="56"/>
      <c r="G6" s="56"/>
    </row>
    <row r="7" spans="1:7" ht="7.5" customHeight="1">
      <c r="A7" s="56"/>
      <c r="B7" s="56"/>
      <c r="C7" s="56"/>
      <c r="D7" s="56"/>
      <c r="E7" s="56"/>
      <c r="F7" s="56"/>
      <c r="G7" s="56"/>
    </row>
    <row r="8" spans="1:7" s="5" customFormat="1" ht="15.75">
      <c r="A8" s="207" t="s">
        <v>84</v>
      </c>
      <c r="B8" s="207"/>
      <c r="C8" s="207"/>
      <c r="D8" s="207"/>
      <c r="E8" s="207"/>
      <c r="F8" s="207"/>
      <c r="G8" s="207"/>
    </row>
    <row r="9" spans="1:7" s="5" customFormat="1" ht="6.75" customHeight="1">
      <c r="A9" s="58"/>
      <c r="B9" s="58"/>
      <c r="C9" s="58"/>
      <c r="D9" s="57"/>
      <c r="E9" s="58"/>
      <c r="F9" s="58"/>
      <c r="G9" s="58"/>
    </row>
    <row r="10" spans="1:9" s="5" customFormat="1" ht="15">
      <c r="A10" s="136"/>
      <c r="B10" s="137" t="s">
        <v>29</v>
      </c>
      <c r="C10" s="138"/>
      <c r="D10" s="139"/>
      <c r="E10" s="140"/>
      <c r="F10" s="140"/>
      <c r="G10" s="140"/>
      <c r="H10" s="137"/>
      <c r="I10" s="137"/>
    </row>
    <row r="11" spans="1:9" s="5" customFormat="1" ht="12.75" customHeight="1">
      <c r="A11" s="141"/>
      <c r="B11" s="208" t="s">
        <v>9</v>
      </c>
      <c r="C11" s="209"/>
      <c r="D11" s="142" t="s">
        <v>2</v>
      </c>
      <c r="E11" s="210" t="s">
        <v>80</v>
      </c>
      <c r="F11" s="211"/>
      <c r="G11" s="211"/>
      <c r="H11" s="211"/>
      <c r="I11" s="212"/>
    </row>
    <row r="12" spans="1:9" s="5" customFormat="1" ht="12.75">
      <c r="A12" s="143" t="s">
        <v>7</v>
      </c>
      <c r="B12" s="196" t="s">
        <v>10</v>
      </c>
      <c r="C12" s="197"/>
      <c r="D12" s="144"/>
      <c r="E12" s="145" t="s">
        <v>77</v>
      </c>
      <c r="F12" s="145" t="s">
        <v>77</v>
      </c>
      <c r="G12" s="145" t="s">
        <v>77</v>
      </c>
      <c r="H12" s="146" t="s">
        <v>79</v>
      </c>
      <c r="I12" s="146" t="s">
        <v>79</v>
      </c>
    </row>
    <row r="13" spans="1:9" s="5" customFormat="1" ht="12.75">
      <c r="A13" s="143"/>
      <c r="B13" s="196"/>
      <c r="C13" s="197"/>
      <c r="D13" s="144"/>
      <c r="E13" s="147" t="s">
        <v>166</v>
      </c>
      <c r="F13" s="147" t="s">
        <v>166</v>
      </c>
      <c r="G13" s="147" t="s">
        <v>166</v>
      </c>
      <c r="H13" s="148" t="s">
        <v>78</v>
      </c>
      <c r="I13" s="148" t="s">
        <v>78</v>
      </c>
    </row>
    <row r="14" spans="1:9" s="5" customFormat="1" ht="12.75">
      <c r="A14" s="149"/>
      <c r="B14" s="149"/>
      <c r="C14" s="150"/>
      <c r="D14" s="151" t="s">
        <v>11</v>
      </c>
      <c r="E14" s="152" t="s">
        <v>167</v>
      </c>
      <c r="F14" s="152" t="s">
        <v>168</v>
      </c>
      <c r="G14" s="152" t="s">
        <v>169</v>
      </c>
      <c r="H14" s="153" t="s">
        <v>170</v>
      </c>
      <c r="I14" s="153" t="s">
        <v>171</v>
      </c>
    </row>
    <row r="15" spans="1:9" s="5" customFormat="1" ht="14.25">
      <c r="A15" s="154">
        <v>3</v>
      </c>
      <c r="B15" s="99" t="s">
        <v>172</v>
      </c>
      <c r="C15" s="155"/>
      <c r="D15" s="156">
        <v>16584</v>
      </c>
      <c r="E15" s="156"/>
      <c r="F15" s="156"/>
      <c r="G15" s="156">
        <f>+A15</f>
        <v>3</v>
      </c>
      <c r="H15" s="156"/>
      <c r="I15" s="157"/>
    </row>
    <row r="16" spans="1:9" s="5" customFormat="1" ht="14.25">
      <c r="A16" s="154">
        <v>5</v>
      </c>
      <c r="B16" s="99" t="s">
        <v>198</v>
      </c>
      <c r="C16" s="155"/>
      <c r="D16" s="156">
        <v>20830</v>
      </c>
      <c r="E16" s="156"/>
      <c r="F16" s="156"/>
      <c r="G16" s="156"/>
      <c r="H16" s="157">
        <f>+A16</f>
        <v>5</v>
      </c>
      <c r="I16" s="157"/>
    </row>
    <row r="17" spans="1:9" s="5" customFormat="1" ht="14.25">
      <c r="A17" s="154">
        <f>+'[1]Sheet1'!$F$14</f>
        <v>2</v>
      </c>
      <c r="B17" s="99" t="s">
        <v>173</v>
      </c>
      <c r="C17" s="155"/>
      <c r="D17" s="156">
        <v>39000</v>
      </c>
      <c r="E17" s="156"/>
      <c r="F17" s="156"/>
      <c r="G17" s="156"/>
      <c r="H17" s="157">
        <f>+A17</f>
        <v>2</v>
      </c>
      <c r="I17" s="157"/>
    </row>
    <row r="18" spans="1:9" s="5" customFormat="1" ht="14.25">
      <c r="A18" s="154">
        <f>+'[1]Sheet1'!$F$20</f>
        <v>2</v>
      </c>
      <c r="B18" s="99" t="s">
        <v>174</v>
      </c>
      <c r="C18" s="155"/>
      <c r="D18" s="156">
        <v>23400</v>
      </c>
      <c r="E18" s="156"/>
      <c r="F18" s="156"/>
      <c r="G18" s="156"/>
      <c r="H18" s="157">
        <f>+A18</f>
        <v>2</v>
      </c>
      <c r="I18" s="157"/>
    </row>
    <row r="19" spans="1:9" s="5" customFormat="1" ht="14.25">
      <c r="A19" s="154">
        <f>+'[1]Sheet1'!$F$21</f>
        <v>4</v>
      </c>
      <c r="B19" s="99" t="s">
        <v>175</v>
      </c>
      <c r="C19" s="158"/>
      <c r="D19" s="156">
        <v>4000</v>
      </c>
      <c r="E19" s="156">
        <v>3</v>
      </c>
      <c r="F19" s="156"/>
      <c r="G19" s="156"/>
      <c r="H19" s="157"/>
      <c r="I19" s="157"/>
    </row>
    <row r="20" spans="1:9" s="5" customFormat="1" ht="14.25">
      <c r="A20" s="154">
        <f>+'[1]Sheet1'!$F$22</f>
        <v>1</v>
      </c>
      <c r="B20" s="99" t="s">
        <v>176</v>
      </c>
      <c r="C20" s="158"/>
      <c r="D20" s="156">
        <v>20000</v>
      </c>
      <c r="E20" s="156"/>
      <c r="F20" s="156"/>
      <c r="G20" s="156"/>
      <c r="H20" s="157">
        <f>+A20</f>
        <v>1</v>
      </c>
      <c r="I20" s="157"/>
    </row>
    <row r="21" spans="1:9" s="5" customFormat="1" ht="14.25">
      <c r="A21" s="154">
        <f>+'[1]Sheet1'!$F$30</f>
        <v>1</v>
      </c>
      <c r="B21" s="99" t="s">
        <v>177</v>
      </c>
      <c r="C21" s="158"/>
      <c r="D21" s="156"/>
      <c r="E21" s="156">
        <f>+A21</f>
        <v>1</v>
      </c>
      <c r="F21" s="156"/>
      <c r="G21" s="156"/>
      <c r="H21" s="157"/>
      <c r="I21" s="157"/>
    </row>
    <row r="22" spans="1:9" s="5" customFormat="1" ht="14.25">
      <c r="A22" s="154">
        <v>1</v>
      </c>
      <c r="B22" s="99" t="s">
        <v>193</v>
      </c>
      <c r="C22" s="158"/>
      <c r="D22" s="156">
        <v>11515</v>
      </c>
      <c r="E22" s="156"/>
      <c r="F22" s="156"/>
      <c r="G22" s="156">
        <f>+A22</f>
        <v>1</v>
      </c>
      <c r="H22" s="157"/>
      <c r="I22" s="157"/>
    </row>
    <row r="23" spans="1:9" s="5" customFormat="1" ht="14.25">
      <c r="A23" s="154">
        <v>2</v>
      </c>
      <c r="B23" s="99" t="s">
        <v>178</v>
      </c>
      <c r="C23" s="158"/>
      <c r="D23" s="156">
        <v>13540</v>
      </c>
      <c r="E23" s="156"/>
      <c r="F23" s="156"/>
      <c r="G23" s="156">
        <f>+A23</f>
        <v>2</v>
      </c>
      <c r="H23" s="157"/>
      <c r="I23" s="157"/>
    </row>
    <row r="24" spans="1:9" s="5" customFormat="1" ht="14.25">
      <c r="A24" s="154">
        <f>+'[1]Sheet1'!$F$34</f>
        <v>1</v>
      </c>
      <c r="B24" s="99" t="s">
        <v>179</v>
      </c>
      <c r="C24" s="158"/>
      <c r="D24" s="156">
        <v>12000</v>
      </c>
      <c r="E24" s="156"/>
      <c r="F24" s="156">
        <f>+A24</f>
        <v>1</v>
      </c>
      <c r="G24" s="156"/>
      <c r="H24" s="157"/>
      <c r="I24" s="157"/>
    </row>
    <row r="25" spans="1:9" s="5" customFormat="1" ht="14.25">
      <c r="A25" s="154">
        <f>+'[1]Sheet1'!$F$35</f>
        <v>1</v>
      </c>
      <c r="B25" s="99" t="s">
        <v>180</v>
      </c>
      <c r="C25" s="158"/>
      <c r="D25" s="156">
        <v>46800</v>
      </c>
      <c r="E25" s="156"/>
      <c r="F25" s="156"/>
      <c r="G25" s="156">
        <f>4*A25</f>
        <v>4</v>
      </c>
      <c r="H25" s="157"/>
      <c r="I25" s="157">
        <f>+A25*4</f>
        <v>4</v>
      </c>
    </row>
    <row r="26" spans="1:9" s="5" customFormat="1" ht="14.25">
      <c r="A26" s="154">
        <v>3</v>
      </c>
      <c r="B26" s="99" t="s">
        <v>181</v>
      </c>
      <c r="C26" s="158"/>
      <c r="D26" s="156">
        <v>9000</v>
      </c>
      <c r="E26" s="156"/>
      <c r="F26" s="156">
        <f>+A26</f>
        <v>3</v>
      </c>
      <c r="G26" s="156"/>
      <c r="H26" s="157"/>
      <c r="I26" s="157"/>
    </row>
    <row r="27" spans="1:9" s="5" customFormat="1" ht="14.25">
      <c r="A27" s="154">
        <v>2</v>
      </c>
      <c r="B27" s="99" t="s">
        <v>182</v>
      </c>
      <c r="C27" s="158"/>
      <c r="D27" s="156">
        <v>11100</v>
      </c>
      <c r="E27" s="156"/>
      <c r="F27" s="156">
        <f>+A27</f>
        <v>2</v>
      </c>
      <c r="G27" s="156"/>
      <c r="H27" s="157"/>
      <c r="I27" s="157"/>
    </row>
    <row r="28" spans="1:9" s="5" customFormat="1" ht="14.25">
      <c r="A28" s="154">
        <f>+'[1]Sheet1'!$F$39</f>
        <v>1</v>
      </c>
      <c r="B28" s="99" t="s">
        <v>183</v>
      </c>
      <c r="C28" s="158"/>
      <c r="D28" s="156">
        <v>9000</v>
      </c>
      <c r="E28" s="156"/>
      <c r="F28" s="156">
        <f>+A28</f>
        <v>1</v>
      </c>
      <c r="G28" s="159"/>
      <c r="H28" s="157"/>
      <c r="I28" s="157"/>
    </row>
    <row r="29" spans="1:9" s="5" customFormat="1" ht="14.25">
      <c r="A29" s="154">
        <v>2</v>
      </c>
      <c r="B29" s="99" t="s">
        <v>184</v>
      </c>
      <c r="C29" s="158"/>
      <c r="D29" s="156">
        <v>9000</v>
      </c>
      <c r="E29" s="156"/>
      <c r="F29" s="156">
        <f>+A29</f>
        <v>2</v>
      </c>
      <c r="G29" s="156"/>
      <c r="H29" s="157"/>
      <c r="I29" s="157"/>
    </row>
    <row r="30" spans="1:9" s="5" customFormat="1" ht="14.25">
      <c r="A30" s="154">
        <f>+'[1]Sheet1'!$F$42</f>
        <v>1</v>
      </c>
      <c r="B30" s="99" t="s">
        <v>119</v>
      </c>
      <c r="C30" s="158"/>
      <c r="D30" s="156">
        <v>14900</v>
      </c>
      <c r="E30" s="156"/>
      <c r="F30" s="156"/>
      <c r="G30" s="156">
        <f>+A30</f>
        <v>1</v>
      </c>
      <c r="H30" s="157"/>
      <c r="I30" s="157"/>
    </row>
    <row r="31" spans="1:9" s="5" customFormat="1" ht="14.25">
      <c r="A31" s="154">
        <v>6</v>
      </c>
      <c r="B31" s="99" t="s">
        <v>17</v>
      </c>
      <c r="C31" s="158"/>
      <c r="D31" s="156">
        <v>20520</v>
      </c>
      <c r="E31" s="156"/>
      <c r="F31" s="156"/>
      <c r="G31" s="156"/>
      <c r="H31" s="157">
        <f>+A31</f>
        <v>6</v>
      </c>
      <c r="I31" s="157"/>
    </row>
    <row r="32" spans="1:9" s="5" customFormat="1" ht="14.25">
      <c r="A32" s="154">
        <v>2</v>
      </c>
      <c r="B32" s="99" t="s">
        <v>194</v>
      </c>
      <c r="C32" s="158"/>
      <c r="D32" s="156">
        <v>31980</v>
      </c>
      <c r="E32" s="156"/>
      <c r="F32" s="156"/>
      <c r="G32" s="156"/>
      <c r="H32" s="157">
        <f>+A32</f>
        <v>2</v>
      </c>
      <c r="I32" s="157"/>
    </row>
    <row r="33" spans="1:9" s="5" customFormat="1" ht="14.25">
      <c r="A33" s="154">
        <f>+'[1]Sheet1'!$F$46</f>
        <v>4</v>
      </c>
      <c r="B33" s="99" t="s">
        <v>185</v>
      </c>
      <c r="C33" s="158"/>
      <c r="D33" s="156">
        <f>+'[2]Equip-mín ETAPA 1'!D30</f>
        <v>0</v>
      </c>
      <c r="E33" s="156">
        <f>+A33</f>
        <v>4</v>
      </c>
      <c r="F33" s="156"/>
      <c r="G33" s="156"/>
      <c r="H33" s="157"/>
      <c r="I33" s="157"/>
    </row>
    <row r="34" spans="1:9" s="5" customFormat="1" ht="15">
      <c r="A34" s="160"/>
      <c r="B34" s="198" t="s">
        <v>8</v>
      </c>
      <c r="C34" s="199"/>
      <c r="D34" s="200"/>
      <c r="E34" s="161">
        <f>SUM(E15:E33)</f>
        <v>8</v>
      </c>
      <c r="F34" s="161">
        <f>SUM(F15:F33)</f>
        <v>9</v>
      </c>
      <c r="G34" s="161">
        <f>SUM(G15:G33)</f>
        <v>11</v>
      </c>
      <c r="H34" s="161">
        <f>SUM(H15:H33)</f>
        <v>18</v>
      </c>
      <c r="I34" s="161">
        <f>SUM(I15:I33)</f>
        <v>4</v>
      </c>
    </row>
    <row r="35" spans="1:9" s="5" customFormat="1" ht="15">
      <c r="A35" s="162"/>
      <c r="B35" s="163" t="s">
        <v>186</v>
      </c>
      <c r="C35" s="164"/>
      <c r="D35" s="165"/>
      <c r="E35" s="166">
        <v>35</v>
      </c>
      <c r="F35" s="166">
        <v>35</v>
      </c>
      <c r="G35" s="166">
        <v>35</v>
      </c>
      <c r="H35" s="166">
        <v>35</v>
      </c>
      <c r="I35" s="166">
        <v>35</v>
      </c>
    </row>
    <row r="36" spans="1:9" s="5" customFormat="1" ht="14.25">
      <c r="A36"/>
      <c r="B36" s="167" t="s">
        <v>187</v>
      </c>
      <c r="C36" s="168"/>
      <c r="D36" s="169"/>
      <c r="E36" s="166">
        <v>1.4</v>
      </c>
      <c r="F36" s="166">
        <v>1.4</v>
      </c>
      <c r="G36" s="166">
        <v>1.4</v>
      </c>
      <c r="H36" s="166">
        <v>1.4</v>
      </c>
      <c r="I36" s="166">
        <v>1.4</v>
      </c>
    </row>
    <row r="37" spans="1:9" s="5" customFormat="1" ht="14.25">
      <c r="A37"/>
      <c r="B37" s="167" t="s">
        <v>188</v>
      </c>
      <c r="C37" s="168"/>
      <c r="D37" s="169"/>
      <c r="E37" s="166">
        <v>117.47</v>
      </c>
      <c r="F37" s="166">
        <v>157.83</v>
      </c>
      <c r="G37" s="166">
        <v>218.81</v>
      </c>
      <c r="H37" s="166">
        <v>208.15</v>
      </c>
      <c r="I37" s="166">
        <v>208.26</v>
      </c>
    </row>
    <row r="38" spans="1:9" s="5" customFormat="1" ht="14.25">
      <c r="A38"/>
      <c r="B38" s="167" t="s">
        <v>189</v>
      </c>
      <c r="C38" s="168"/>
      <c r="D38" s="169"/>
      <c r="E38" s="166">
        <f>+E34*E35*E36*E37</f>
        <v>46048.24</v>
      </c>
      <c r="F38" s="166">
        <f>+F34*F35*F36*F37</f>
        <v>69603.03</v>
      </c>
      <c r="G38" s="166">
        <f>+G34*G35*G36*G37</f>
        <v>117938.59</v>
      </c>
      <c r="H38" s="166">
        <f>+H34*H35*H36*H37</f>
        <v>183588.30000000002</v>
      </c>
      <c r="I38" s="166">
        <f>+I34*I35*I36*I37</f>
        <v>40818.96</v>
      </c>
    </row>
    <row r="39" spans="1:9" s="5" customFormat="1" ht="14.25">
      <c r="A39"/>
      <c r="B39" s="167" t="s">
        <v>190</v>
      </c>
      <c r="C39" s="168"/>
      <c r="D39" s="169"/>
      <c r="E39" s="166">
        <f>+E38</f>
        <v>46048.24</v>
      </c>
      <c r="F39" s="166">
        <f>+F38</f>
        <v>69603.03</v>
      </c>
      <c r="G39" s="166">
        <f>+G38</f>
        <v>117938.59</v>
      </c>
      <c r="H39" s="166">
        <f>+H38</f>
        <v>183588.30000000002</v>
      </c>
      <c r="I39" s="166">
        <f>+I38</f>
        <v>40818.96</v>
      </c>
    </row>
    <row r="40" spans="1:12" s="5" customFormat="1" ht="14.25">
      <c r="A40"/>
      <c r="B40" s="167" t="s">
        <v>191</v>
      </c>
      <c r="C40" s="168"/>
      <c r="D40" s="169"/>
      <c r="E40" s="166">
        <f>0.1*E39</f>
        <v>4604.824</v>
      </c>
      <c r="F40" s="166">
        <f>0.1*F39</f>
        <v>6960.303</v>
      </c>
      <c r="G40" s="166">
        <f>0.1*G39</f>
        <v>11793.859</v>
      </c>
      <c r="H40" s="166">
        <f>0.1*H39</f>
        <v>18358.83</v>
      </c>
      <c r="I40" s="166">
        <f>0.1*I39</f>
        <v>4081.896</v>
      </c>
      <c r="L40" s="42"/>
    </row>
    <row r="41" spans="1:9" s="5" customFormat="1" ht="15">
      <c r="A41"/>
      <c r="B41" s="167" t="s">
        <v>192</v>
      </c>
      <c r="C41" s="168"/>
      <c r="D41" s="170"/>
      <c r="E41" s="166"/>
      <c r="F41" s="166"/>
      <c r="G41" s="166"/>
      <c r="H41" s="166"/>
      <c r="I41" s="171">
        <f>SUM(E38:I40)</f>
        <v>961793.9519999999</v>
      </c>
    </row>
    <row r="42" spans="1:7" s="5" customFormat="1" ht="18">
      <c r="A42" s="64"/>
      <c r="B42" s="67"/>
      <c r="C42" s="67"/>
      <c r="D42" s="68"/>
      <c r="E42" s="67"/>
      <c r="F42" s="67"/>
      <c r="G42" s="66"/>
    </row>
    <row r="43" spans="1:9" s="5" customFormat="1" ht="15">
      <c r="A43" s="172"/>
      <c r="B43" s="137" t="s">
        <v>195</v>
      </c>
      <c r="C43" s="172"/>
      <c r="D43" s="173"/>
      <c r="E43" s="172"/>
      <c r="F43" s="172"/>
      <c r="G43" s="172"/>
      <c r="H43" s="172"/>
      <c r="I43" s="172"/>
    </row>
    <row r="44" spans="1:9" s="5" customFormat="1" ht="14.25">
      <c r="A44" s="172"/>
      <c r="B44" s="172"/>
      <c r="C44" s="172"/>
      <c r="D44" s="173"/>
      <c r="E44" s="172"/>
      <c r="F44" s="172"/>
      <c r="G44" s="172"/>
      <c r="H44" s="172"/>
      <c r="I44" s="172"/>
    </row>
    <row r="45" spans="1:9" s="5" customFormat="1" ht="25.5">
      <c r="A45" s="174" t="s">
        <v>196</v>
      </c>
      <c r="B45" s="201" t="s">
        <v>33</v>
      </c>
      <c r="C45" s="202"/>
      <c r="D45" s="202"/>
      <c r="E45" s="203"/>
      <c r="F45" s="175" t="s">
        <v>62</v>
      </c>
      <c r="G45" s="176" t="s">
        <v>49</v>
      </c>
      <c r="H45" s="213" t="s">
        <v>50</v>
      </c>
      <c r="I45" s="188"/>
    </row>
    <row r="46" spans="1:9" s="5" customFormat="1" ht="14.25">
      <c r="A46" s="177">
        <f>+'[1]Sheet1'!$F$9</f>
        <v>1</v>
      </c>
      <c r="B46" s="204" t="str">
        <f>+'[2]Equip-mín ETAPA 1'!A11</f>
        <v>CAMIONETA PICK UP 4X2 C.SIMPLE 1 TON</v>
      </c>
      <c r="C46" s="205"/>
      <c r="D46" s="205"/>
      <c r="E46" s="206"/>
      <c r="F46" s="178">
        <v>30</v>
      </c>
      <c r="G46" s="178">
        <v>39.43</v>
      </c>
      <c r="H46" s="190">
        <f>ROUNDUP(A46*(F46*G46),0)</f>
        <v>1183</v>
      </c>
      <c r="I46" s="191"/>
    </row>
    <row r="47" spans="1:9" s="5" customFormat="1" ht="14.25">
      <c r="A47" s="177">
        <v>3</v>
      </c>
      <c r="B47" s="204" t="s">
        <v>133</v>
      </c>
      <c r="C47" s="205"/>
      <c r="D47" s="205"/>
      <c r="E47" s="206"/>
      <c r="F47" s="178">
        <v>30</v>
      </c>
      <c r="G47" s="178">
        <v>130.06</v>
      </c>
      <c r="H47" s="190">
        <f>ROUNDUP(A47*(F47*G47),0)</f>
        <v>11706</v>
      </c>
      <c r="I47" s="191"/>
    </row>
    <row r="48" spans="1:9" s="5" customFormat="1" ht="14.25">
      <c r="A48" s="177">
        <f>+'[1]Sheet1'!$F$11</f>
        <v>1</v>
      </c>
      <c r="B48" s="204" t="s">
        <v>48</v>
      </c>
      <c r="C48" s="205"/>
      <c r="D48" s="205"/>
      <c r="E48" s="206"/>
      <c r="F48" s="178">
        <f>+F47</f>
        <v>30</v>
      </c>
      <c r="G48" s="178">
        <f>+'[3]Sheet1'!$E$9</f>
        <v>109.46000000000001</v>
      </c>
      <c r="H48" s="190">
        <f>ROUNDUP(A48*(F48*G48),0)</f>
        <v>3284</v>
      </c>
      <c r="I48" s="191"/>
    </row>
    <row r="49" spans="1:9" s="5" customFormat="1" ht="14.25">
      <c r="A49" s="177">
        <f>+'[1]Sheet1'!$F$12</f>
        <v>1</v>
      </c>
      <c r="B49" s="204" t="s">
        <v>128</v>
      </c>
      <c r="C49" s="205"/>
      <c r="D49" s="205"/>
      <c r="E49" s="206"/>
      <c r="F49" s="178">
        <f>+F47</f>
        <v>30</v>
      </c>
      <c r="G49" s="178">
        <f>+'[3]Sheet1'!$E$10</f>
        <v>40.36</v>
      </c>
      <c r="H49" s="190">
        <f>ROUNDUP(A49*(F49*G49),0)</f>
        <v>1211</v>
      </c>
      <c r="I49" s="191"/>
    </row>
    <row r="50" spans="1:9" s="5" customFormat="1" ht="14.25">
      <c r="A50" s="177">
        <v>26</v>
      </c>
      <c r="B50" s="192" t="s">
        <v>71</v>
      </c>
      <c r="C50" s="193"/>
      <c r="D50" s="193"/>
      <c r="E50" s="194"/>
      <c r="F50" s="178">
        <f>+F47</f>
        <v>30</v>
      </c>
      <c r="G50" s="178">
        <f>+'[3]Sheet1'!$E$44</f>
        <v>222.32</v>
      </c>
      <c r="H50" s="190">
        <f>ROUNDUP(A50*(F50*G50),0)</f>
        <v>173410</v>
      </c>
      <c r="I50" s="191"/>
    </row>
    <row r="51" spans="1:9" s="5" customFormat="1" ht="15">
      <c r="A51" s="172"/>
      <c r="B51" s="179" t="s">
        <v>30</v>
      </c>
      <c r="D51" s="180"/>
      <c r="E51" s="181"/>
      <c r="F51" s="181"/>
      <c r="G51" s="181"/>
      <c r="H51" s="181"/>
      <c r="I51" s="173">
        <f>SUM(H46:I50)</f>
        <v>190794</v>
      </c>
    </row>
    <row r="52" spans="1:9" s="5" customFormat="1" ht="14.25">
      <c r="A52" s="172"/>
      <c r="B52" s="182" t="s">
        <v>31</v>
      </c>
      <c r="D52" s="183"/>
      <c r="E52" s="184"/>
      <c r="F52" s="184"/>
      <c r="G52" s="184"/>
      <c r="H52" s="184"/>
      <c r="I52" s="173">
        <f>SUM(H47:I50)</f>
        <v>189611</v>
      </c>
    </row>
    <row r="53" spans="1:9" s="5" customFormat="1" ht="14.25">
      <c r="A53" s="172"/>
      <c r="B53" s="182"/>
      <c r="D53" s="183"/>
      <c r="E53" s="184"/>
      <c r="F53" s="184"/>
      <c r="G53" s="184"/>
      <c r="H53" s="184"/>
      <c r="I53" s="173"/>
    </row>
    <row r="54" spans="1:9" s="5" customFormat="1" ht="14.25">
      <c r="A54" s="172"/>
      <c r="B54" s="195" t="s">
        <v>32</v>
      </c>
      <c r="C54" s="195"/>
      <c r="D54" s="186">
        <v>0.1</v>
      </c>
      <c r="E54" s="172"/>
      <c r="F54" s="172"/>
      <c r="G54" s="172"/>
      <c r="H54" s="172"/>
      <c r="I54" s="173">
        <f>SUM(I51:I52)*0.1</f>
        <v>38040.5</v>
      </c>
    </row>
    <row r="55" spans="1:9" s="5" customFormat="1" ht="14.25">
      <c r="A55" s="172"/>
      <c r="B55" s="185"/>
      <c r="C55" s="185"/>
      <c r="D55" s="186"/>
      <c r="E55" s="172"/>
      <c r="F55" s="172"/>
      <c r="G55" s="172"/>
      <c r="H55" s="172"/>
      <c r="I55" s="173">
        <f>SUM(I51:I54)</f>
        <v>418445.5</v>
      </c>
    </row>
    <row r="56" spans="1:7" s="5" customFormat="1" ht="18">
      <c r="A56" s="64"/>
      <c r="B56" s="64"/>
      <c r="C56" s="64"/>
      <c r="D56" s="69"/>
      <c r="E56" s="64"/>
      <c r="F56" s="64"/>
      <c r="G56" s="66"/>
    </row>
    <row r="57" spans="1:7" s="5" customFormat="1" ht="18">
      <c r="A57" s="64"/>
      <c r="B57" s="64" t="s">
        <v>127</v>
      </c>
      <c r="C57" s="64"/>
      <c r="D57" s="69"/>
      <c r="E57" s="66">
        <f>('INSTA. DE PLANTA DE ASFALTO, CH'!G30)</f>
        <v>67784.928</v>
      </c>
      <c r="F57" s="64"/>
      <c r="G57" s="66">
        <f>+E57*2</f>
        <v>135569.856</v>
      </c>
    </row>
    <row r="58" spans="1:7" s="5" customFormat="1" ht="18">
      <c r="A58" s="64"/>
      <c r="B58" s="64"/>
      <c r="C58" s="64"/>
      <c r="D58" s="69"/>
      <c r="E58" s="64"/>
      <c r="F58" s="64"/>
      <c r="G58" s="66"/>
    </row>
    <row r="59" spans="1:7" s="5" customFormat="1" ht="18">
      <c r="A59" s="64"/>
      <c r="B59" s="64" t="s">
        <v>202</v>
      </c>
      <c r="C59" s="64"/>
      <c r="D59" s="69"/>
      <c r="E59" s="66">
        <f>('INSTA. DE PLANTA DE ASFALTO, CH'!G48)</f>
        <v>26060.744000000002</v>
      </c>
      <c r="F59" s="64"/>
      <c r="G59" s="66">
        <f>+E59*2</f>
        <v>52121.488000000005</v>
      </c>
    </row>
    <row r="60" spans="1:7" s="5" customFormat="1" ht="18">
      <c r="A60" s="64"/>
      <c r="B60" s="64"/>
      <c r="C60" s="64"/>
      <c r="D60" s="69"/>
      <c r="E60" s="64"/>
      <c r="F60" s="64"/>
      <c r="G60" s="66"/>
    </row>
    <row r="61" spans="1:7" s="5" customFormat="1" ht="18">
      <c r="A61" s="64"/>
      <c r="B61" s="64" t="s">
        <v>201</v>
      </c>
      <c r="C61" s="64"/>
      <c r="D61" s="69"/>
      <c r="E61" s="66">
        <f>('INSTA. DE PLANTA DE ASFALTO, CH'!G66)</f>
        <v>14766.823999999999</v>
      </c>
      <c r="F61" s="64"/>
      <c r="G61" s="66">
        <f>+E61*2</f>
        <v>29533.647999999997</v>
      </c>
    </row>
    <row r="62" spans="1:7" ht="18">
      <c r="A62" s="64"/>
      <c r="B62" s="64"/>
      <c r="C62" s="64"/>
      <c r="D62" s="69"/>
      <c r="E62" s="64"/>
      <c r="F62" s="64"/>
      <c r="G62" s="70"/>
    </row>
    <row r="63" spans="1:7" ht="18">
      <c r="A63" s="64"/>
      <c r="B63" s="64" t="s">
        <v>34</v>
      </c>
      <c r="C63" s="64"/>
      <c r="D63" s="187">
        <v>0.025</v>
      </c>
      <c r="E63" s="64"/>
      <c r="F63" s="64"/>
      <c r="G63" s="66">
        <f>SUM(G57:G61)*D63</f>
        <v>5430.6248000000005</v>
      </c>
    </row>
    <row r="64" spans="1:7" ht="18">
      <c r="A64" s="64"/>
      <c r="B64" s="64"/>
      <c r="C64" s="64"/>
      <c r="D64" s="71"/>
      <c r="E64" s="70"/>
      <c r="F64" s="70"/>
      <c r="G64" s="70"/>
    </row>
    <row r="65" spans="1:7" ht="18.75" thickBot="1">
      <c r="A65" s="64"/>
      <c r="B65" s="64"/>
      <c r="C65" s="64"/>
      <c r="D65" s="66"/>
      <c r="E65" s="64"/>
      <c r="F65" s="64"/>
      <c r="G65" s="66"/>
    </row>
    <row r="66" spans="1:7" ht="18.75" thickBot="1">
      <c r="A66" s="64"/>
      <c r="B66" s="65" t="s">
        <v>35</v>
      </c>
      <c r="C66" s="64"/>
      <c r="D66" s="66"/>
      <c r="E66" s="64"/>
      <c r="F66" s="64"/>
      <c r="G66" s="72">
        <f>+G57+G59+G61+G63+I41+I55</f>
        <v>1602895.0688</v>
      </c>
    </row>
    <row r="67" spans="1:7" ht="18">
      <c r="A67" s="64"/>
      <c r="B67" s="65"/>
      <c r="C67" s="64"/>
      <c r="D67" s="66"/>
      <c r="E67" s="64"/>
      <c r="F67" s="64"/>
      <c r="G67" s="73"/>
    </row>
    <row r="68" spans="1:7" ht="18">
      <c r="A68" s="74" t="s">
        <v>102</v>
      </c>
      <c r="B68" s="64" t="s">
        <v>129</v>
      </c>
      <c r="C68" s="70"/>
      <c r="D68" s="71"/>
      <c r="E68" s="70"/>
      <c r="F68" s="70"/>
      <c r="G68" s="70"/>
    </row>
    <row r="69" spans="1:7" ht="18">
      <c r="A69" s="74" t="s">
        <v>103</v>
      </c>
      <c r="B69" s="64" t="s">
        <v>104</v>
      </c>
      <c r="C69" s="70"/>
      <c r="D69" s="71"/>
      <c r="E69" s="70"/>
      <c r="F69" s="70"/>
      <c r="G69" s="70"/>
    </row>
  </sheetData>
  <sheetProtection/>
  <mergeCells count="19">
    <mergeCell ref="H48:I48"/>
    <mergeCell ref="B46:E46"/>
    <mergeCell ref="B47:E47"/>
    <mergeCell ref="B49:E49"/>
    <mergeCell ref="A8:G8"/>
    <mergeCell ref="B11:C11"/>
    <mergeCell ref="E11:I11"/>
    <mergeCell ref="B48:E48"/>
    <mergeCell ref="H45:I45"/>
    <mergeCell ref="H46:I46"/>
    <mergeCell ref="H47:I47"/>
    <mergeCell ref="B12:C12"/>
    <mergeCell ref="B13:C13"/>
    <mergeCell ref="B34:D34"/>
    <mergeCell ref="B45:E45"/>
    <mergeCell ref="H49:I49"/>
    <mergeCell ref="B50:E50"/>
    <mergeCell ref="H50:I50"/>
    <mergeCell ref="B54:C54"/>
  </mergeCells>
  <printOptions horizontalCentered="1"/>
  <pageMargins left="0.984251968503937" right="0.7874015748031497" top="0.5905511811023623" bottom="0.7874015748031497" header="0.5118110236220472" footer="0.118110236220472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view="pageLayout" zoomScaleSheetLayoutView="100" workbookViewId="0" topLeftCell="A55">
      <selection activeCell="G66" sqref="G66"/>
    </sheetView>
  </sheetViews>
  <sheetFormatPr defaultColWidth="11.421875" defaultRowHeight="12.75"/>
  <cols>
    <col min="1" max="1" width="23.7109375" style="40" customWidth="1"/>
    <col min="2" max="2" width="22.28125" style="40" customWidth="1"/>
    <col min="3" max="3" width="6.8515625" style="40" customWidth="1"/>
    <col min="4" max="4" width="10.421875" style="40" customWidth="1"/>
    <col min="5" max="5" width="10.57421875" style="40" customWidth="1"/>
    <col min="6" max="6" width="10.140625" style="40" customWidth="1"/>
    <col min="7" max="7" width="11.28125" style="40" customWidth="1"/>
    <col min="8" max="16384" width="11.421875" style="40" customWidth="1"/>
  </cols>
  <sheetData>
    <row r="1" spans="1:2" ht="13.5">
      <c r="A1" s="128" t="s">
        <v>135</v>
      </c>
      <c r="B1" s="129" t="s">
        <v>136</v>
      </c>
    </row>
    <row r="2" spans="1:2" ht="13.5">
      <c r="A2" s="128"/>
      <c r="B2" s="129" t="s">
        <v>137</v>
      </c>
    </row>
    <row r="3" spans="1:2" ht="13.5">
      <c r="A3" s="130" t="s">
        <v>138</v>
      </c>
      <c r="B3" s="129" t="s">
        <v>139</v>
      </c>
    </row>
    <row r="4" spans="1:13" ht="13.5">
      <c r="A4" s="128" t="s">
        <v>140</v>
      </c>
      <c r="B4" s="129" t="s">
        <v>141</v>
      </c>
      <c r="C4" s="75"/>
      <c r="D4" s="75"/>
      <c r="E4" s="75"/>
      <c r="F4" s="75"/>
      <c r="G4" s="75"/>
      <c r="H4" s="39"/>
      <c r="I4" s="39"/>
      <c r="J4" s="39"/>
      <c r="K4" s="39"/>
      <c r="L4" s="39"/>
      <c r="M4" s="39"/>
    </row>
    <row r="5" spans="1:13" ht="16.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39"/>
      <c r="L5" s="39"/>
      <c r="M5" s="39"/>
    </row>
    <row r="6" spans="1:7" ht="13.5">
      <c r="A6" s="53"/>
      <c r="B6" s="76"/>
      <c r="C6" s="76"/>
      <c r="D6" s="76"/>
      <c r="E6" s="76"/>
      <c r="F6" s="76"/>
      <c r="G6" s="76"/>
    </row>
    <row r="7" spans="1:7" ht="13.5">
      <c r="A7" s="75" t="s">
        <v>86</v>
      </c>
      <c r="B7" s="76"/>
      <c r="C7" s="76"/>
      <c r="D7" s="76"/>
      <c r="E7" s="76"/>
      <c r="F7" s="76"/>
      <c r="G7" s="76"/>
    </row>
    <row r="8" spans="1:7" ht="13.5">
      <c r="A8" s="76"/>
      <c r="B8" s="76"/>
      <c r="C8" s="77" t="s">
        <v>7</v>
      </c>
      <c r="D8" s="77" t="s">
        <v>14</v>
      </c>
      <c r="E8" s="77" t="s">
        <v>87</v>
      </c>
      <c r="F8" s="77" t="s">
        <v>62</v>
      </c>
      <c r="G8" s="77" t="s">
        <v>88</v>
      </c>
    </row>
    <row r="9" spans="1:7" ht="13.5">
      <c r="A9" s="75" t="s">
        <v>89</v>
      </c>
      <c r="B9" s="76"/>
      <c r="C9" s="76"/>
      <c r="D9" s="76"/>
      <c r="E9" s="76"/>
      <c r="F9" s="76"/>
      <c r="G9" s="76"/>
    </row>
    <row r="10" spans="1:7" ht="13.5">
      <c r="A10" s="76" t="s">
        <v>132</v>
      </c>
      <c r="B10" s="76"/>
      <c r="C10" s="83" t="s">
        <v>105</v>
      </c>
      <c r="D10" s="76">
        <v>1</v>
      </c>
      <c r="E10" s="78">
        <v>17.36</v>
      </c>
      <c r="F10" s="76">
        <v>240</v>
      </c>
      <c r="G10" s="78">
        <f>+D10*E10*F10</f>
        <v>4166.4</v>
      </c>
    </row>
    <row r="11" spans="1:7" ht="13.5">
      <c r="A11" s="76" t="s">
        <v>90</v>
      </c>
      <c r="B11" s="76"/>
      <c r="C11" s="83" t="s">
        <v>105</v>
      </c>
      <c r="D11" s="76">
        <v>2</v>
      </c>
      <c r="E11" s="78">
        <v>13.36</v>
      </c>
      <c r="F11" s="76">
        <v>240</v>
      </c>
      <c r="G11" s="78">
        <f>+D11*E11*F11</f>
        <v>6412.799999999999</v>
      </c>
    </row>
    <row r="12" spans="1:7" ht="13.5">
      <c r="A12" s="76" t="s">
        <v>91</v>
      </c>
      <c r="B12" s="76"/>
      <c r="C12" s="83" t="s">
        <v>105</v>
      </c>
      <c r="D12" s="76">
        <v>2</v>
      </c>
      <c r="E12" s="78">
        <v>11.84</v>
      </c>
      <c r="F12" s="76">
        <v>240</v>
      </c>
      <c r="G12" s="78">
        <f>+D12*E12*F12</f>
        <v>5683.2</v>
      </c>
    </row>
    <row r="13" spans="1:7" ht="12.75" customHeight="1">
      <c r="A13" s="76" t="s">
        <v>92</v>
      </c>
      <c r="B13" s="76"/>
      <c r="C13" s="83" t="s">
        <v>105</v>
      </c>
      <c r="D13" s="76">
        <v>4</v>
      </c>
      <c r="E13" s="78">
        <v>10.7</v>
      </c>
      <c r="F13" s="76">
        <v>240</v>
      </c>
      <c r="G13" s="78">
        <f>+D13*E13*F13</f>
        <v>10272</v>
      </c>
    </row>
    <row r="14" spans="1:7" ht="12.75" customHeight="1">
      <c r="A14" s="76"/>
      <c r="B14" s="76"/>
      <c r="C14" s="76"/>
      <c r="D14" s="76"/>
      <c r="E14" s="76"/>
      <c r="F14" s="76"/>
      <c r="G14" s="76"/>
    </row>
    <row r="15" spans="1:7" ht="12.75" customHeight="1">
      <c r="A15" s="75" t="s">
        <v>93</v>
      </c>
      <c r="B15" s="76"/>
      <c r="C15" s="76"/>
      <c r="D15" s="76"/>
      <c r="E15" s="76"/>
      <c r="F15" s="76"/>
      <c r="G15" s="76"/>
    </row>
    <row r="16" spans="1:7" ht="12.75" customHeight="1">
      <c r="A16" s="76" t="s">
        <v>94</v>
      </c>
      <c r="B16" s="76"/>
      <c r="C16" s="83" t="s">
        <v>4</v>
      </c>
      <c r="D16" s="76">
        <v>100</v>
      </c>
      <c r="E16" s="76">
        <v>14</v>
      </c>
      <c r="F16" s="76"/>
      <c r="G16" s="76">
        <f>+D16-E16</f>
        <v>86</v>
      </c>
    </row>
    <row r="17" spans="1:7" ht="12.75" customHeight="1">
      <c r="A17" s="76"/>
      <c r="B17" s="76"/>
      <c r="C17" s="83"/>
      <c r="D17" s="76"/>
      <c r="E17" s="76"/>
      <c r="F17" s="76"/>
      <c r="G17" s="76"/>
    </row>
    <row r="18" spans="1:7" ht="12.75" customHeight="1">
      <c r="A18" s="75" t="s">
        <v>95</v>
      </c>
      <c r="B18" s="76"/>
      <c r="C18" s="83"/>
      <c r="D18" s="76"/>
      <c r="E18" s="76"/>
      <c r="F18" s="76"/>
      <c r="G18" s="76"/>
    </row>
    <row r="19" spans="1:7" ht="12.75" customHeight="1">
      <c r="A19" s="76" t="s">
        <v>96</v>
      </c>
      <c r="B19" s="76"/>
      <c r="C19" s="83" t="s">
        <v>106</v>
      </c>
      <c r="D19" s="79">
        <v>0.05</v>
      </c>
      <c r="E19" s="78">
        <f>+G10+G11+G12+G13</f>
        <v>26534.399999999998</v>
      </c>
      <c r="F19" s="76"/>
      <c r="G19" s="80">
        <f>+D19*E19</f>
        <v>1326.72</v>
      </c>
    </row>
    <row r="20" spans="1:7" ht="12.75" customHeight="1">
      <c r="A20" s="76" t="s">
        <v>118</v>
      </c>
      <c r="B20" s="76"/>
      <c r="C20" s="83" t="s">
        <v>107</v>
      </c>
      <c r="D20" s="76">
        <v>1</v>
      </c>
      <c r="E20" s="81">
        <v>147.8</v>
      </c>
      <c r="F20" s="76">
        <v>120</v>
      </c>
      <c r="G20" s="78">
        <f>+E20*F20</f>
        <v>17736</v>
      </c>
    </row>
    <row r="21" spans="1:7" ht="12.75" customHeight="1">
      <c r="A21" s="76" t="s">
        <v>97</v>
      </c>
      <c r="B21" s="76"/>
      <c r="C21" s="83" t="s">
        <v>107</v>
      </c>
      <c r="D21" s="76">
        <v>1</v>
      </c>
      <c r="E21" s="78">
        <v>99.9</v>
      </c>
      <c r="F21" s="76">
        <v>120</v>
      </c>
      <c r="G21" s="78">
        <f>+E21*F21</f>
        <v>11988</v>
      </c>
    </row>
    <row r="22" spans="1:7" ht="12.75" customHeight="1">
      <c r="A22" s="76" t="s">
        <v>65</v>
      </c>
      <c r="B22" s="76"/>
      <c r="C22" s="83" t="s">
        <v>107</v>
      </c>
      <c r="D22" s="76">
        <v>1</v>
      </c>
      <c r="E22" s="78">
        <v>12.4</v>
      </c>
      <c r="F22" s="76">
        <v>120</v>
      </c>
      <c r="G22" s="78">
        <f>+E22*F22</f>
        <v>1488</v>
      </c>
    </row>
    <row r="23" spans="1:7" ht="12.75" customHeight="1">
      <c r="A23" s="76" t="s">
        <v>43</v>
      </c>
      <c r="B23" s="76"/>
      <c r="C23" s="83" t="s">
        <v>107</v>
      </c>
      <c r="D23" s="76">
        <v>1</v>
      </c>
      <c r="E23" s="81">
        <v>14</v>
      </c>
      <c r="F23" s="76">
        <v>120</v>
      </c>
      <c r="G23" s="78">
        <f>+E23*F23</f>
        <v>1680</v>
      </c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5" t="s">
        <v>98</v>
      </c>
      <c r="B25" s="76"/>
      <c r="C25" s="76"/>
      <c r="D25" s="76"/>
      <c r="E25" s="76"/>
      <c r="F25" s="76"/>
      <c r="G25" s="76"/>
    </row>
    <row r="26" spans="1:7" ht="12.75" customHeight="1">
      <c r="A26" s="76" t="s">
        <v>99</v>
      </c>
      <c r="B26" s="76"/>
      <c r="C26" s="83" t="s">
        <v>108</v>
      </c>
      <c r="D26" s="76">
        <v>8</v>
      </c>
      <c r="E26" s="78">
        <v>383.72</v>
      </c>
      <c r="F26" s="76"/>
      <c r="G26" s="80">
        <f>+D26*E26</f>
        <v>3069.76</v>
      </c>
    </row>
    <row r="27" spans="1:7" ht="12.75" customHeight="1">
      <c r="A27" s="76" t="s">
        <v>109</v>
      </c>
      <c r="B27" s="76"/>
      <c r="C27" s="84" t="s">
        <v>4</v>
      </c>
      <c r="D27" s="76">
        <v>480</v>
      </c>
      <c r="E27" s="78">
        <v>4.3</v>
      </c>
      <c r="F27" s="76"/>
      <c r="G27" s="80">
        <f>+D27*E27</f>
        <v>2064</v>
      </c>
    </row>
    <row r="28" spans="1:7" ht="12.75" customHeight="1">
      <c r="A28" s="76" t="s">
        <v>110</v>
      </c>
      <c r="B28" s="76"/>
      <c r="C28" s="83" t="s">
        <v>111</v>
      </c>
      <c r="D28" s="76">
        <v>33.6</v>
      </c>
      <c r="E28" s="78">
        <v>53.93</v>
      </c>
      <c r="F28" s="76"/>
      <c r="G28" s="80">
        <f>+D28*E28</f>
        <v>1812.048</v>
      </c>
    </row>
    <row r="29" spans="1:7" ht="12.75" customHeight="1">
      <c r="A29" s="76"/>
      <c r="B29" s="76"/>
      <c r="C29" s="83"/>
      <c r="D29" s="76"/>
      <c r="E29" s="76"/>
      <c r="F29" s="76"/>
      <c r="G29" s="76"/>
    </row>
    <row r="30" spans="1:7" ht="13.5">
      <c r="A30" s="76"/>
      <c r="B30" s="76"/>
      <c r="C30" s="76"/>
      <c r="D30" s="76"/>
      <c r="E30" s="75" t="s">
        <v>53</v>
      </c>
      <c r="F30" s="75"/>
      <c r="G30" s="82">
        <f>SUM(G9:G29)</f>
        <v>67784.928</v>
      </c>
    </row>
    <row r="31" spans="1:7" ht="13.5">
      <c r="A31" s="76"/>
      <c r="B31" s="76"/>
      <c r="C31" s="76"/>
      <c r="D31" s="76"/>
      <c r="E31" s="76"/>
      <c r="F31" s="76"/>
      <c r="G31" s="76"/>
    </row>
    <row r="32" spans="1:7" ht="13.5">
      <c r="A32" s="75" t="s">
        <v>100</v>
      </c>
      <c r="B32" s="76"/>
      <c r="C32" s="76"/>
      <c r="D32" s="76"/>
      <c r="E32" s="76"/>
      <c r="F32" s="76"/>
      <c r="G32" s="76"/>
    </row>
    <row r="33" spans="1:7" ht="13.5">
      <c r="A33" s="76"/>
      <c r="B33" s="76"/>
      <c r="C33" s="77" t="s">
        <v>7</v>
      </c>
      <c r="D33" s="77" t="s">
        <v>14</v>
      </c>
      <c r="E33" s="77" t="s">
        <v>87</v>
      </c>
      <c r="F33" s="77" t="s">
        <v>62</v>
      </c>
      <c r="G33" s="77" t="s">
        <v>88</v>
      </c>
    </row>
    <row r="34" spans="1:7" ht="13.5">
      <c r="A34" s="75" t="s">
        <v>89</v>
      </c>
      <c r="B34" s="76"/>
      <c r="C34" s="76"/>
      <c r="D34" s="76"/>
      <c r="E34" s="76"/>
      <c r="F34" s="76"/>
      <c r="G34" s="76"/>
    </row>
    <row r="35" spans="1:7" ht="13.5">
      <c r="A35" s="76" t="s">
        <v>132</v>
      </c>
      <c r="B35" s="76"/>
      <c r="C35" s="83" t="s">
        <v>105</v>
      </c>
      <c r="D35" s="76">
        <v>1</v>
      </c>
      <c r="E35" s="78">
        <f>+E10</f>
        <v>17.36</v>
      </c>
      <c r="F35" s="76">
        <v>160</v>
      </c>
      <c r="G35" s="78">
        <f>+D35*E35*F35</f>
        <v>2777.6</v>
      </c>
    </row>
    <row r="36" spans="1:7" ht="13.5">
      <c r="A36" s="76" t="s">
        <v>90</v>
      </c>
      <c r="B36" s="76"/>
      <c r="C36" s="83" t="s">
        <v>105</v>
      </c>
      <c r="D36" s="76">
        <v>2</v>
      </c>
      <c r="E36" s="78">
        <f>+E11</f>
        <v>13.36</v>
      </c>
      <c r="F36" s="76">
        <v>160</v>
      </c>
      <c r="G36" s="78">
        <f>+D36*E36*F36</f>
        <v>4275.2</v>
      </c>
    </row>
    <row r="37" spans="1:7" ht="13.5">
      <c r="A37" s="76" t="s">
        <v>92</v>
      </c>
      <c r="B37" s="76"/>
      <c r="C37" s="83" t="s">
        <v>105</v>
      </c>
      <c r="D37" s="76">
        <v>4</v>
      </c>
      <c r="E37" s="78">
        <f>+E13</f>
        <v>10.7</v>
      </c>
      <c r="F37" s="76">
        <v>160</v>
      </c>
      <c r="G37" s="78">
        <f>+D37*E37*F37</f>
        <v>6848</v>
      </c>
    </row>
    <row r="38" spans="1:7" ht="13.5">
      <c r="A38" s="76"/>
      <c r="B38" s="76"/>
      <c r="C38" s="83"/>
      <c r="D38" s="76"/>
      <c r="E38" s="78"/>
      <c r="F38" s="76"/>
      <c r="G38" s="76"/>
    </row>
    <row r="39" spans="1:7" ht="13.5">
      <c r="A39" s="75" t="s">
        <v>95</v>
      </c>
      <c r="B39" s="76"/>
      <c r="C39" s="76"/>
      <c r="D39" s="76"/>
      <c r="E39" s="78"/>
      <c r="F39" s="76"/>
      <c r="G39" s="76"/>
    </row>
    <row r="40" spans="1:7" ht="13.5">
      <c r="A40" s="76" t="s">
        <v>96</v>
      </c>
      <c r="B40" s="76"/>
      <c r="C40" s="83" t="s">
        <v>106</v>
      </c>
      <c r="D40" s="79">
        <v>0.05</v>
      </c>
      <c r="E40" s="78">
        <f>+G35+G36+G37</f>
        <v>13900.8</v>
      </c>
      <c r="F40" s="76"/>
      <c r="G40" s="80">
        <f>+D40*E40</f>
        <v>695.04</v>
      </c>
    </row>
    <row r="41" spans="1:7" ht="13.5">
      <c r="A41" s="76" t="s">
        <v>97</v>
      </c>
      <c r="B41" s="76"/>
      <c r="C41" s="83" t="s">
        <v>107</v>
      </c>
      <c r="D41" s="76">
        <v>1</v>
      </c>
      <c r="E41" s="78">
        <v>99.9</v>
      </c>
      <c r="F41" s="76">
        <v>80</v>
      </c>
      <c r="G41" s="78">
        <f>+E41*F41</f>
        <v>7992</v>
      </c>
    </row>
    <row r="42" spans="1:7" ht="13.5">
      <c r="A42" s="76"/>
      <c r="B42" s="76"/>
      <c r="C42" s="76"/>
      <c r="D42" s="76"/>
      <c r="E42" s="78"/>
      <c r="F42" s="76"/>
      <c r="G42" s="76"/>
    </row>
    <row r="43" spans="1:7" ht="13.5">
      <c r="A43" s="75" t="s">
        <v>98</v>
      </c>
      <c r="B43" s="76"/>
      <c r="C43" s="76"/>
      <c r="D43" s="76"/>
      <c r="E43" s="78"/>
      <c r="F43" s="76"/>
      <c r="G43" s="76"/>
    </row>
    <row r="44" spans="1:7" ht="13.5">
      <c r="A44" s="76" t="s">
        <v>99</v>
      </c>
      <c r="B44" s="76"/>
      <c r="C44" s="83" t="s">
        <v>108</v>
      </c>
      <c r="D44" s="76">
        <v>4</v>
      </c>
      <c r="E44" s="78">
        <v>383.72</v>
      </c>
      <c r="F44" s="76"/>
      <c r="G44" s="80">
        <f>+D44*E44</f>
        <v>1534.88</v>
      </c>
    </row>
    <row r="45" spans="1:7" ht="13.5">
      <c r="A45" s="76" t="s">
        <v>109</v>
      </c>
      <c r="B45" s="76"/>
      <c r="C45" s="84" t="s">
        <v>4</v>
      </c>
      <c r="D45" s="76">
        <v>240</v>
      </c>
      <c r="E45" s="78">
        <v>4.3</v>
      </c>
      <c r="F45" s="76"/>
      <c r="G45" s="80">
        <f>+D45*E45</f>
        <v>1032</v>
      </c>
    </row>
    <row r="46" spans="1:7" ht="13.5">
      <c r="A46" s="76" t="s">
        <v>110</v>
      </c>
      <c r="B46" s="76"/>
      <c r="C46" s="83" t="s">
        <v>111</v>
      </c>
      <c r="D46" s="76">
        <v>16.8</v>
      </c>
      <c r="E46" s="78">
        <v>53.93</v>
      </c>
      <c r="F46" s="76"/>
      <c r="G46" s="80">
        <f>+D46*E46</f>
        <v>906.024</v>
      </c>
    </row>
    <row r="47" spans="1:7" ht="13.5">
      <c r="A47" s="76"/>
      <c r="B47" s="76"/>
      <c r="C47" s="76"/>
      <c r="D47" s="76"/>
      <c r="E47" s="76"/>
      <c r="F47" s="76"/>
      <c r="G47" s="76"/>
    </row>
    <row r="48" spans="1:7" ht="13.5">
      <c r="A48" s="76"/>
      <c r="B48" s="76"/>
      <c r="C48" s="76"/>
      <c r="D48" s="76"/>
      <c r="E48" s="75" t="s">
        <v>53</v>
      </c>
      <c r="F48" s="75"/>
      <c r="G48" s="82">
        <f>SUM(G35:G46)</f>
        <v>26060.744000000002</v>
      </c>
    </row>
    <row r="49" spans="1:7" ht="13.5">
      <c r="A49" s="76"/>
      <c r="B49" s="76"/>
      <c r="C49" s="76"/>
      <c r="D49" s="76"/>
      <c r="E49" s="76"/>
      <c r="F49" s="76"/>
      <c r="G49" s="76"/>
    </row>
    <row r="50" spans="1:7" ht="13.5">
      <c r="A50" s="75" t="s">
        <v>101</v>
      </c>
      <c r="B50" s="76"/>
      <c r="C50" s="76"/>
      <c r="D50" s="76"/>
      <c r="E50" s="76"/>
      <c r="F50" s="76"/>
      <c r="G50" s="76"/>
    </row>
    <row r="51" spans="1:7" ht="13.5">
      <c r="A51" s="76"/>
      <c r="B51" s="76"/>
      <c r="C51" s="77" t="s">
        <v>7</v>
      </c>
      <c r="D51" s="77" t="s">
        <v>14</v>
      </c>
      <c r="E51" s="77" t="s">
        <v>87</v>
      </c>
      <c r="F51" s="77" t="s">
        <v>62</v>
      </c>
      <c r="G51" s="77" t="s">
        <v>88</v>
      </c>
    </row>
    <row r="52" spans="1:7" ht="13.5">
      <c r="A52" s="75" t="s">
        <v>89</v>
      </c>
      <c r="B52" s="76"/>
      <c r="C52" s="76"/>
      <c r="D52" s="76"/>
      <c r="E52" s="76"/>
      <c r="F52" s="76"/>
      <c r="G52" s="76"/>
    </row>
    <row r="53" spans="1:7" ht="13.5">
      <c r="A53" s="76" t="s">
        <v>132</v>
      </c>
      <c r="B53" s="76"/>
      <c r="C53" s="83" t="s">
        <v>105</v>
      </c>
      <c r="D53" s="76">
        <v>1</v>
      </c>
      <c r="E53" s="78">
        <f>+E35</f>
        <v>17.36</v>
      </c>
      <c r="F53" s="76">
        <v>80</v>
      </c>
      <c r="G53" s="78">
        <f>+D53*E53*F53</f>
        <v>1388.8</v>
      </c>
    </row>
    <row r="54" spans="1:7" ht="13.5">
      <c r="A54" s="76" t="s">
        <v>90</v>
      </c>
      <c r="B54" s="76"/>
      <c r="C54" s="83" t="s">
        <v>105</v>
      </c>
      <c r="D54" s="76">
        <v>2</v>
      </c>
      <c r="E54" s="78">
        <f>+E36</f>
        <v>13.36</v>
      </c>
      <c r="F54" s="76">
        <v>80</v>
      </c>
      <c r="G54" s="78">
        <f>+D54*E54*F54</f>
        <v>2137.6</v>
      </c>
    </row>
    <row r="55" spans="1:7" ht="13.5">
      <c r="A55" s="76" t="s">
        <v>92</v>
      </c>
      <c r="B55" s="76"/>
      <c r="C55" s="83" t="s">
        <v>105</v>
      </c>
      <c r="D55" s="76">
        <v>4</v>
      </c>
      <c r="E55" s="78">
        <f>+E37</f>
        <v>10.7</v>
      </c>
      <c r="F55" s="76">
        <v>80</v>
      </c>
      <c r="G55" s="78">
        <f>+D55*E55*F55</f>
        <v>3424</v>
      </c>
    </row>
    <row r="56" spans="1:7" ht="13.5">
      <c r="A56" s="76"/>
      <c r="B56" s="76"/>
      <c r="C56" s="83"/>
      <c r="D56" s="76"/>
      <c r="E56" s="78"/>
      <c r="F56" s="76"/>
      <c r="G56" s="76"/>
    </row>
    <row r="57" spans="1:7" ht="13.5">
      <c r="A57" s="75" t="s">
        <v>95</v>
      </c>
      <c r="B57" s="76"/>
      <c r="C57" s="76"/>
      <c r="D57" s="76"/>
      <c r="E57" s="78"/>
      <c r="F57" s="76"/>
      <c r="G57" s="76"/>
    </row>
    <row r="58" spans="1:7" ht="13.5">
      <c r="A58" s="76" t="s">
        <v>96</v>
      </c>
      <c r="B58" s="76"/>
      <c r="C58" s="83" t="s">
        <v>106</v>
      </c>
      <c r="D58" s="79">
        <v>0.05</v>
      </c>
      <c r="E58" s="78">
        <f>+G53+G54+G55</f>
        <v>6950.4</v>
      </c>
      <c r="F58" s="76"/>
      <c r="G58" s="80">
        <f>+D58*E58</f>
        <v>347.52</v>
      </c>
    </row>
    <row r="59" spans="1:7" ht="13.5">
      <c r="A59" s="76" t="s">
        <v>97</v>
      </c>
      <c r="B59" s="76"/>
      <c r="C59" s="83" t="s">
        <v>107</v>
      </c>
      <c r="D59" s="76">
        <v>1</v>
      </c>
      <c r="E59" s="78">
        <v>99.9</v>
      </c>
      <c r="F59" s="76">
        <v>40</v>
      </c>
      <c r="G59" s="78">
        <f>+E59*F59</f>
        <v>3996</v>
      </c>
    </row>
    <row r="60" spans="1:7" ht="13.5">
      <c r="A60" s="76"/>
      <c r="B60" s="76"/>
      <c r="C60" s="76"/>
      <c r="D60" s="76"/>
      <c r="E60" s="78"/>
      <c r="F60" s="76"/>
      <c r="G60" s="76"/>
    </row>
    <row r="61" spans="1:7" ht="13.5">
      <c r="A61" s="75" t="s">
        <v>98</v>
      </c>
      <c r="B61" s="76"/>
      <c r="C61" s="76"/>
      <c r="D61" s="76"/>
      <c r="E61" s="78"/>
      <c r="F61" s="76"/>
      <c r="G61" s="76"/>
    </row>
    <row r="62" spans="1:7" ht="13.5">
      <c r="A62" s="76" t="s">
        <v>99</v>
      </c>
      <c r="B62" s="76"/>
      <c r="C62" s="83" t="s">
        <v>108</v>
      </c>
      <c r="D62" s="76">
        <v>4</v>
      </c>
      <c r="E62" s="78">
        <v>383.72</v>
      </c>
      <c r="F62" s="76"/>
      <c r="G62" s="80">
        <f>+D62*E62</f>
        <v>1534.88</v>
      </c>
    </row>
    <row r="63" spans="1:7" ht="13.5">
      <c r="A63" s="76" t="s">
        <v>109</v>
      </c>
      <c r="B63" s="76"/>
      <c r="C63" s="84" t="s">
        <v>4</v>
      </c>
      <c r="D63" s="76">
        <v>240</v>
      </c>
      <c r="E63" s="78">
        <v>4.3</v>
      </c>
      <c r="F63" s="76"/>
      <c r="G63" s="80">
        <f>+D63*E63</f>
        <v>1032</v>
      </c>
    </row>
    <row r="64" spans="1:7" ht="13.5">
      <c r="A64" s="76" t="s">
        <v>110</v>
      </c>
      <c r="B64" s="76"/>
      <c r="C64" s="83" t="s">
        <v>111</v>
      </c>
      <c r="D64" s="76">
        <v>16.8</v>
      </c>
      <c r="E64" s="78">
        <v>53.93</v>
      </c>
      <c r="F64" s="76"/>
      <c r="G64" s="80">
        <f>+D64*E64</f>
        <v>906.024</v>
      </c>
    </row>
    <row r="65" spans="1:7" ht="13.5">
      <c r="A65" s="76"/>
      <c r="B65" s="76"/>
      <c r="C65" s="76"/>
      <c r="D65" s="76"/>
      <c r="E65" s="78"/>
      <c r="F65" s="76"/>
      <c r="G65" s="80"/>
    </row>
    <row r="66" spans="1:7" ht="13.5">
      <c r="A66" s="76"/>
      <c r="B66" s="76"/>
      <c r="C66" s="76"/>
      <c r="D66" s="76"/>
      <c r="E66" s="75" t="s">
        <v>53</v>
      </c>
      <c r="F66" s="75"/>
      <c r="G66" s="82">
        <f>SUM(G53:G64)</f>
        <v>14766.823999999999</v>
      </c>
    </row>
    <row r="67" spans="1:7" ht="13.5">
      <c r="A67" s="224"/>
      <c r="B67" s="224"/>
      <c r="C67" s="224"/>
      <c r="D67" s="224"/>
      <c r="E67" s="224"/>
      <c r="F67" s="224"/>
      <c r="G67" s="224"/>
    </row>
  </sheetData>
  <sheetProtection/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view="pageLayout" zoomScaleSheetLayoutView="100" workbookViewId="0" topLeftCell="A1">
      <selection activeCell="E28" sqref="E28"/>
    </sheetView>
  </sheetViews>
  <sheetFormatPr defaultColWidth="11.421875" defaultRowHeight="12.75"/>
  <cols>
    <col min="1" max="1" width="13.57421875" style="0" customWidth="1"/>
    <col min="2" max="2" width="42.140625" style="0" customWidth="1"/>
    <col min="3" max="3" width="7.57421875" style="0" customWidth="1"/>
    <col min="4" max="4" width="12.57421875" style="0" customWidth="1"/>
    <col min="5" max="5" width="10.140625" style="0" customWidth="1"/>
    <col min="6" max="6" width="11.28125" style="0" customWidth="1"/>
    <col min="7" max="7" width="11.7109375" style="0" customWidth="1"/>
    <col min="8" max="8" width="9.00390625" style="0" customWidth="1"/>
    <col min="9" max="9" width="9.140625" style="0" customWidth="1"/>
    <col min="10" max="10" width="2.57421875" style="0" customWidth="1"/>
  </cols>
  <sheetData>
    <row r="1" spans="1:13" ht="12.75">
      <c r="A1" s="128" t="s">
        <v>135</v>
      </c>
      <c r="B1" s="129" t="s">
        <v>136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0" ht="16.5">
      <c r="A2" s="128"/>
      <c r="B2" s="129" t="s">
        <v>137</v>
      </c>
      <c r="C2" s="117"/>
      <c r="D2" s="117"/>
      <c r="E2" s="117"/>
      <c r="F2" s="117"/>
      <c r="G2" s="117"/>
      <c r="H2" s="117"/>
      <c r="I2" s="117"/>
      <c r="J2" s="117"/>
    </row>
    <row r="3" spans="1:2" ht="12.75">
      <c r="A3" s="130" t="s">
        <v>138</v>
      </c>
      <c r="B3" s="129" t="s">
        <v>139</v>
      </c>
    </row>
    <row r="4" spans="1:2" ht="12.75">
      <c r="A4" s="128" t="s">
        <v>140</v>
      </c>
      <c r="B4" s="129" t="s">
        <v>141</v>
      </c>
    </row>
    <row r="6" spans="1:7" ht="25.5">
      <c r="A6" s="218" t="s">
        <v>36</v>
      </c>
      <c r="B6" s="189" t="s">
        <v>33</v>
      </c>
      <c r="C6" s="215" t="s">
        <v>7</v>
      </c>
      <c r="D6" s="189" t="s">
        <v>145</v>
      </c>
      <c r="E6" s="215" t="s">
        <v>14</v>
      </c>
      <c r="F6" s="189" t="s">
        <v>81</v>
      </c>
      <c r="G6" s="13" t="s">
        <v>37</v>
      </c>
    </row>
    <row r="7" spans="1:7" ht="12.75">
      <c r="A7" s="219"/>
      <c r="B7" s="217"/>
      <c r="C7" s="216"/>
      <c r="D7" s="217"/>
      <c r="E7" s="216"/>
      <c r="F7" s="214"/>
      <c r="G7" s="14" t="s">
        <v>5</v>
      </c>
    </row>
    <row r="9" spans="1:7" s="90" customFormat="1" ht="12.75">
      <c r="A9" s="87" t="s">
        <v>75</v>
      </c>
      <c r="B9" s="88" t="s">
        <v>114</v>
      </c>
      <c r="C9" s="88"/>
      <c r="D9" s="88"/>
      <c r="E9" s="88"/>
      <c r="F9" s="88"/>
      <c r="G9" s="89"/>
    </row>
    <row r="11" spans="1:7" ht="12.75">
      <c r="A11" s="16"/>
      <c r="B11" s="17" t="s">
        <v>38</v>
      </c>
      <c r="C11" s="17"/>
      <c r="D11" s="17"/>
      <c r="E11" s="17"/>
      <c r="F11" s="17"/>
      <c r="G11" s="18"/>
    </row>
    <row r="12" spans="1:7" ht="6" customHeight="1">
      <c r="A12" s="19"/>
      <c r="B12" s="20"/>
      <c r="C12" s="20"/>
      <c r="D12" s="20"/>
      <c r="E12" s="20"/>
      <c r="F12" s="20"/>
      <c r="G12" s="21"/>
    </row>
    <row r="13" spans="1:7" ht="12.75">
      <c r="A13" s="61" t="s">
        <v>39</v>
      </c>
      <c r="B13" s="23"/>
      <c r="C13" s="23"/>
      <c r="D13" s="23"/>
      <c r="E13" s="23"/>
      <c r="F13" s="23"/>
      <c r="G13" s="24"/>
    </row>
    <row r="14" spans="1:7" ht="12.75">
      <c r="A14" s="25"/>
      <c r="B14" s="85" t="s">
        <v>89</v>
      </c>
      <c r="C14" s="25"/>
      <c r="D14" s="25"/>
      <c r="E14" s="25"/>
      <c r="F14" s="27"/>
      <c r="G14" s="25"/>
    </row>
    <row r="15" spans="1:11" ht="12.75">
      <c r="A15" s="25"/>
      <c r="B15" s="25" t="s">
        <v>131</v>
      </c>
      <c r="C15" s="63" t="s">
        <v>85</v>
      </c>
      <c r="D15" s="25">
        <v>1</v>
      </c>
      <c r="E15" s="48">
        <v>4.8</v>
      </c>
      <c r="F15" s="27">
        <f>+I15</f>
        <v>3979.2</v>
      </c>
      <c r="G15" s="28">
        <f>D15*E15*F15</f>
        <v>19100.16</v>
      </c>
      <c r="H15" s="20">
        <v>16.58</v>
      </c>
      <c r="I15" s="31">
        <f>H15*8*30</f>
        <v>3979.2</v>
      </c>
      <c r="K15">
        <f>+F15/I15</f>
        <v>1</v>
      </c>
    </row>
    <row r="16" spans="1:11" ht="12.75">
      <c r="A16" s="25"/>
      <c r="B16" s="25"/>
      <c r="C16" s="63"/>
      <c r="D16" s="25"/>
      <c r="E16" s="48"/>
      <c r="F16" s="27"/>
      <c r="G16" s="28"/>
      <c r="H16" s="20">
        <v>14.9</v>
      </c>
      <c r="I16" s="31">
        <f>H16*8*30</f>
        <v>3576</v>
      </c>
      <c r="K16">
        <f>+F16/I16</f>
        <v>0</v>
      </c>
    </row>
    <row r="17" spans="1:11" ht="12.75">
      <c r="A17" s="25"/>
      <c r="B17" s="25" t="s">
        <v>40</v>
      </c>
      <c r="C17" s="63" t="s">
        <v>85</v>
      </c>
      <c r="D17" s="25">
        <v>8</v>
      </c>
      <c r="E17" s="48">
        <v>4.8</v>
      </c>
      <c r="F17" s="27">
        <f>+I17</f>
        <v>2469.6</v>
      </c>
      <c r="G17" s="28">
        <f>D17*E17*F17</f>
        <v>94832.64</v>
      </c>
      <c r="H17" s="30">
        <v>10.29</v>
      </c>
      <c r="I17" s="31">
        <f>H17*8*30</f>
        <v>2469.6</v>
      </c>
      <c r="K17">
        <f>+F17/I17</f>
        <v>1</v>
      </c>
    </row>
    <row r="18" spans="1:9" ht="12.75">
      <c r="A18" s="25"/>
      <c r="B18" s="86" t="s">
        <v>112</v>
      </c>
      <c r="C18" s="63"/>
      <c r="D18" s="25"/>
      <c r="E18" s="48"/>
      <c r="F18" s="27"/>
      <c r="G18" s="28"/>
      <c r="H18" s="30"/>
      <c r="I18" s="31"/>
    </row>
    <row r="19" spans="1:11" ht="12.75">
      <c r="A19" s="25"/>
      <c r="B19" s="25" t="s">
        <v>41</v>
      </c>
      <c r="C19" s="63" t="s">
        <v>85</v>
      </c>
      <c r="D19" s="25">
        <v>1</v>
      </c>
      <c r="E19" s="48">
        <v>4.8</v>
      </c>
      <c r="F19" s="27">
        <f aca="true" t="shared" si="0" ref="F19:F24">+I19</f>
        <v>10896</v>
      </c>
      <c r="G19" s="28">
        <f aca="true" t="shared" si="1" ref="G19:G24">D19*E19*F19</f>
        <v>52300.799999999996</v>
      </c>
      <c r="H19" s="94">
        <v>45.4</v>
      </c>
      <c r="I19" s="31">
        <f>H19*8*30</f>
        <v>10896</v>
      </c>
      <c r="K19">
        <f>+F19/I19</f>
        <v>1</v>
      </c>
    </row>
    <row r="20" spans="1:11" ht="12.75">
      <c r="A20" s="32"/>
      <c r="B20" s="35" t="s">
        <v>148</v>
      </c>
      <c r="C20" s="63" t="s">
        <v>85</v>
      </c>
      <c r="D20" s="32">
        <v>1</v>
      </c>
      <c r="E20" s="48">
        <v>4.8</v>
      </c>
      <c r="F20" s="33">
        <f t="shared" si="0"/>
        <v>31247.999999999996</v>
      </c>
      <c r="G20" s="34">
        <f t="shared" si="1"/>
        <v>149990.39999999997</v>
      </c>
      <c r="H20" s="95">
        <v>130.2</v>
      </c>
      <c r="I20" s="31">
        <f>H20*8*30</f>
        <v>31247.999999999996</v>
      </c>
      <c r="K20">
        <f>+F20/I20</f>
        <v>1</v>
      </c>
    </row>
    <row r="21" spans="1:11" ht="12.75">
      <c r="A21" s="32"/>
      <c r="B21" s="35" t="s">
        <v>147</v>
      </c>
      <c r="C21" s="63" t="s">
        <v>85</v>
      </c>
      <c r="D21" s="32">
        <v>1</v>
      </c>
      <c r="E21" s="48">
        <v>4.8</v>
      </c>
      <c r="F21" s="33">
        <f t="shared" si="0"/>
        <v>45319.2</v>
      </c>
      <c r="G21" s="34">
        <f t="shared" si="1"/>
        <v>217532.15999999997</v>
      </c>
      <c r="H21" s="95">
        <v>112.1</v>
      </c>
      <c r="I21" s="31">
        <v>45319.2</v>
      </c>
      <c r="K21">
        <f>+F21/I21</f>
        <v>1</v>
      </c>
    </row>
    <row r="22" spans="1:11" ht="12.75">
      <c r="A22" s="32"/>
      <c r="B22" s="35" t="s">
        <v>146</v>
      </c>
      <c r="C22" s="63" t="s">
        <v>85</v>
      </c>
      <c r="D22" s="32">
        <v>1</v>
      </c>
      <c r="E22" s="48">
        <v>4.8</v>
      </c>
      <c r="F22" s="33">
        <f t="shared" si="0"/>
        <v>38424</v>
      </c>
      <c r="G22" s="34">
        <f t="shared" si="1"/>
        <v>184435.19999999998</v>
      </c>
      <c r="H22" s="95">
        <v>99.9</v>
      </c>
      <c r="I22" s="31">
        <v>38424</v>
      </c>
      <c r="K22">
        <f>+F22/I22</f>
        <v>1</v>
      </c>
    </row>
    <row r="23" spans="1:11" ht="12.75">
      <c r="A23" s="32"/>
      <c r="B23" s="35" t="s">
        <v>113</v>
      </c>
      <c r="C23" s="63" t="s">
        <v>85</v>
      </c>
      <c r="D23" s="32">
        <v>1</v>
      </c>
      <c r="E23" s="48">
        <v>4.8</v>
      </c>
      <c r="F23" s="33">
        <f t="shared" si="0"/>
        <v>57912</v>
      </c>
      <c r="G23" s="34">
        <f t="shared" si="1"/>
        <v>277977.6</v>
      </c>
      <c r="H23" s="95">
        <v>241.3</v>
      </c>
      <c r="I23" s="31">
        <f>H23*8*30</f>
        <v>57912</v>
      </c>
      <c r="K23">
        <f>+F23/I23</f>
        <v>1</v>
      </c>
    </row>
    <row r="24" spans="1:9" ht="12.75">
      <c r="A24" s="32"/>
      <c r="B24" s="35" t="s">
        <v>149</v>
      </c>
      <c r="C24" s="63" t="s">
        <v>85</v>
      </c>
      <c r="D24" s="32">
        <v>1</v>
      </c>
      <c r="E24" s="48">
        <v>4.8</v>
      </c>
      <c r="F24" s="33">
        <f t="shared" si="0"/>
        <v>32899.2</v>
      </c>
      <c r="G24" s="34">
        <f t="shared" si="1"/>
        <v>157916.15999999997</v>
      </c>
      <c r="H24" s="95"/>
      <c r="I24" s="31">
        <v>32899.2</v>
      </c>
    </row>
    <row r="25" spans="1:9" ht="12.75">
      <c r="A25" s="32"/>
      <c r="B25" s="35" t="s">
        <v>144</v>
      </c>
      <c r="C25" s="63"/>
      <c r="D25" s="32"/>
      <c r="E25" s="133">
        <v>0.05</v>
      </c>
      <c r="F25" s="33">
        <f>+G15+G17</f>
        <v>113932.8</v>
      </c>
      <c r="G25" s="34">
        <f>+F25*E25</f>
        <v>5696.64</v>
      </c>
      <c r="H25" s="95"/>
      <c r="I25" s="31"/>
    </row>
    <row r="26" spans="1:9" ht="12.75">
      <c r="A26" s="25"/>
      <c r="B26" s="86" t="s">
        <v>93</v>
      </c>
      <c r="C26" s="63"/>
      <c r="D26" s="25"/>
      <c r="E26" s="48"/>
      <c r="F26" s="27"/>
      <c r="G26" s="28"/>
      <c r="H26" s="30"/>
      <c r="I26" s="31"/>
    </row>
    <row r="27" spans="1:7" ht="12.75">
      <c r="A27" s="25"/>
      <c r="B27" s="25" t="s">
        <v>163</v>
      </c>
      <c r="C27" s="63" t="s">
        <v>158</v>
      </c>
      <c r="D27" s="25"/>
      <c r="E27" s="48">
        <v>1</v>
      </c>
      <c r="F27" s="51">
        <f>+E50</f>
        <v>63080</v>
      </c>
      <c r="G27" s="34">
        <f>+E27*F27</f>
        <v>63080</v>
      </c>
    </row>
    <row r="28" spans="1:7" ht="12.75">
      <c r="A28" s="25"/>
      <c r="B28" s="25" t="s">
        <v>159</v>
      </c>
      <c r="C28" s="63" t="s">
        <v>160</v>
      </c>
      <c r="D28" s="25"/>
      <c r="E28" s="28">
        <v>1800</v>
      </c>
      <c r="F28" s="51">
        <v>50</v>
      </c>
      <c r="G28" s="34">
        <f>+E28*F28</f>
        <v>90000</v>
      </c>
    </row>
    <row r="29" spans="1:7" ht="12.75">
      <c r="A29" s="25"/>
      <c r="B29" s="25" t="s">
        <v>161</v>
      </c>
      <c r="C29" s="63" t="s">
        <v>158</v>
      </c>
      <c r="D29" s="25"/>
      <c r="E29" s="48">
        <v>1</v>
      </c>
      <c r="F29" s="51">
        <v>20000</v>
      </c>
      <c r="G29" s="34">
        <f>+E29*F29</f>
        <v>20000</v>
      </c>
    </row>
    <row r="30" spans="1:7" ht="12.75">
      <c r="A30" s="25"/>
      <c r="B30" s="25"/>
      <c r="C30" s="63"/>
      <c r="D30" s="25"/>
      <c r="E30" s="48"/>
      <c r="F30" s="51"/>
      <c r="G30" s="34"/>
    </row>
    <row r="31" spans="1:7" ht="12.75">
      <c r="A31" s="25"/>
      <c r="B31" s="25"/>
      <c r="C31" s="63"/>
      <c r="D31" s="25"/>
      <c r="E31" s="48"/>
      <c r="F31" s="51"/>
      <c r="G31" s="34"/>
    </row>
    <row r="32" spans="1:7" ht="12.75">
      <c r="A32" s="25"/>
      <c r="B32" s="25"/>
      <c r="C32" s="32"/>
      <c r="D32" s="25"/>
      <c r="E32" s="48"/>
      <c r="F32" s="51"/>
      <c r="G32" s="28"/>
    </row>
    <row r="33" spans="1:7" ht="13.5" thickBot="1">
      <c r="A33" s="25"/>
      <c r="B33" s="25"/>
      <c r="C33" s="32"/>
      <c r="D33" s="25"/>
      <c r="E33" s="48"/>
      <c r="F33" s="51"/>
      <c r="G33" s="46"/>
    </row>
    <row r="34" spans="1:12" ht="13.5" thickBot="1">
      <c r="A34" s="25"/>
      <c r="B34" s="26" t="s">
        <v>42</v>
      </c>
      <c r="C34" s="25"/>
      <c r="D34" s="25"/>
      <c r="E34" s="25" t="s">
        <v>6</v>
      </c>
      <c r="F34" s="15"/>
      <c r="G34" s="47">
        <f>SUM(G15:G30)</f>
        <v>1332861.7599999998</v>
      </c>
      <c r="I34" s="29"/>
      <c r="L34">
        <f>+G34/18</f>
        <v>74047.87555555554</v>
      </c>
    </row>
    <row r="35" spans="1:7" ht="12.75">
      <c r="A35" s="16"/>
      <c r="B35" s="17" t="s">
        <v>164</v>
      </c>
      <c r="C35" s="17">
        <v>18</v>
      </c>
      <c r="D35" s="17" t="s">
        <v>165</v>
      </c>
      <c r="E35" s="17"/>
      <c r="F35" s="17"/>
      <c r="G35" s="21"/>
    </row>
    <row r="36" spans="1:7" ht="12.75">
      <c r="A36" s="62"/>
      <c r="B36" s="20" t="s">
        <v>83</v>
      </c>
      <c r="C36" s="20"/>
      <c r="D36" s="20"/>
      <c r="E36" s="20"/>
      <c r="F36" s="20"/>
      <c r="G36" s="135">
        <f>+G34/C35</f>
        <v>74047.87555555554</v>
      </c>
    </row>
    <row r="37" spans="1:7" ht="12.75">
      <c r="A37" s="22"/>
      <c r="B37" s="23"/>
      <c r="C37" s="23"/>
      <c r="D37" s="23"/>
      <c r="E37" s="23"/>
      <c r="F37" s="23"/>
      <c r="G37" s="24"/>
    </row>
    <row r="38" spans="1:7" ht="12.75">
      <c r="A38" s="20"/>
      <c r="B38" s="20" t="s">
        <v>162</v>
      </c>
      <c r="C38" s="20"/>
      <c r="D38" s="20"/>
      <c r="E38" s="20"/>
      <c r="F38" s="20"/>
      <c r="G38" s="20"/>
    </row>
    <row r="39" spans="2:6" ht="12.75">
      <c r="B39" s="43"/>
      <c r="C39" s="41" t="s">
        <v>14</v>
      </c>
      <c r="D39" s="41" t="s">
        <v>54</v>
      </c>
      <c r="E39" s="41" t="s">
        <v>55</v>
      </c>
      <c r="F39" s="41" t="s">
        <v>154</v>
      </c>
    </row>
    <row r="40" spans="2:6" ht="12.75">
      <c r="B40" s="44" t="s">
        <v>56</v>
      </c>
      <c r="C40" s="43">
        <v>20</v>
      </c>
      <c r="D40" s="49">
        <v>300</v>
      </c>
      <c r="E40" s="49">
        <f>C40*D40</f>
        <v>6000</v>
      </c>
      <c r="F40" s="134" t="s">
        <v>155</v>
      </c>
    </row>
    <row r="41" spans="2:6" ht="12.75">
      <c r="B41" s="44" t="s">
        <v>57</v>
      </c>
      <c r="C41" s="43">
        <v>30</v>
      </c>
      <c r="D41" s="49">
        <v>300</v>
      </c>
      <c r="E41" s="49">
        <f aca="true" t="shared" si="2" ref="E41:E49">C41*D41</f>
        <v>9000</v>
      </c>
      <c r="F41" s="134" t="s">
        <v>155</v>
      </c>
    </row>
    <row r="42" spans="2:6" ht="12.75">
      <c r="B42" s="44" t="s">
        <v>58</v>
      </c>
      <c r="C42" s="43">
        <v>30</v>
      </c>
      <c r="D42" s="49">
        <v>250</v>
      </c>
      <c r="E42" s="49">
        <f t="shared" si="2"/>
        <v>7500</v>
      </c>
      <c r="F42" s="134" t="s">
        <v>155</v>
      </c>
    </row>
    <row r="43" spans="2:6" ht="12.75">
      <c r="B43" s="44" t="s">
        <v>59</v>
      </c>
      <c r="C43" s="43">
        <v>50</v>
      </c>
      <c r="D43" s="49">
        <v>60</v>
      </c>
      <c r="E43" s="49">
        <f t="shared" si="2"/>
        <v>3000</v>
      </c>
      <c r="F43" s="134" t="s">
        <v>155</v>
      </c>
    </row>
    <row r="44" spans="2:6" ht="12.75">
      <c r="B44" s="44" t="s">
        <v>151</v>
      </c>
      <c r="C44" s="43">
        <v>30</v>
      </c>
      <c r="D44" s="49">
        <v>150</v>
      </c>
      <c r="E44" s="49">
        <f t="shared" si="2"/>
        <v>4500</v>
      </c>
      <c r="F44" s="134" t="s">
        <v>155</v>
      </c>
    </row>
    <row r="45" spans="2:6" ht="12.75">
      <c r="B45" s="44" t="s">
        <v>60</v>
      </c>
      <c r="C45" s="43">
        <v>10</v>
      </c>
      <c r="D45" s="49">
        <v>8</v>
      </c>
      <c r="E45" s="49">
        <f t="shared" si="2"/>
        <v>80</v>
      </c>
      <c r="F45" s="134" t="s">
        <v>155</v>
      </c>
    </row>
    <row r="46" spans="2:6" ht="12.75">
      <c r="B46" s="44" t="s">
        <v>61</v>
      </c>
      <c r="C46" s="43">
        <v>20</v>
      </c>
      <c r="D46" s="49">
        <v>450</v>
      </c>
      <c r="E46" s="49">
        <f t="shared" si="2"/>
        <v>9000</v>
      </c>
      <c r="F46" s="134" t="s">
        <v>155</v>
      </c>
    </row>
    <row r="47" spans="2:6" ht="12.75">
      <c r="B47" s="44" t="s">
        <v>150</v>
      </c>
      <c r="C47" s="43">
        <v>100</v>
      </c>
      <c r="D47" s="49">
        <v>200</v>
      </c>
      <c r="E47" s="49">
        <f t="shared" si="2"/>
        <v>20000</v>
      </c>
      <c r="F47" s="134" t="s">
        <v>155</v>
      </c>
    </row>
    <row r="48" spans="2:6" ht="12.75">
      <c r="B48" s="44" t="s">
        <v>152</v>
      </c>
      <c r="C48" s="43">
        <v>10</v>
      </c>
      <c r="D48" s="49">
        <v>150</v>
      </c>
      <c r="E48" s="49">
        <f t="shared" si="2"/>
        <v>1500</v>
      </c>
      <c r="F48" s="134" t="s">
        <v>153</v>
      </c>
    </row>
    <row r="49" spans="2:6" ht="12.75">
      <c r="B49" s="44" t="s">
        <v>156</v>
      </c>
      <c r="C49" s="43">
        <v>500</v>
      </c>
      <c r="D49" s="49">
        <v>5</v>
      </c>
      <c r="E49" s="49">
        <f t="shared" si="2"/>
        <v>2500</v>
      </c>
      <c r="F49" s="134" t="s">
        <v>157</v>
      </c>
    </row>
    <row r="50" spans="2:5" ht="12.75">
      <c r="B50" s="43"/>
      <c r="C50" s="52" t="s">
        <v>82</v>
      </c>
      <c r="D50" s="49"/>
      <c r="E50" s="50">
        <f>SUM(E40:E49)</f>
        <v>63080</v>
      </c>
    </row>
    <row r="51" spans="2:5" ht="12.75">
      <c r="B51" s="43"/>
      <c r="C51" s="52"/>
      <c r="D51" s="49"/>
      <c r="E51" s="50"/>
    </row>
  </sheetData>
  <sheetProtection/>
  <mergeCells count="6">
    <mergeCell ref="F6:F7"/>
    <mergeCell ref="E6:E7"/>
    <mergeCell ref="B6:B7"/>
    <mergeCell ref="A6:A7"/>
    <mergeCell ref="C6:C7"/>
    <mergeCell ref="D6:D7"/>
  </mergeCells>
  <printOptions/>
  <pageMargins left="1.1811023622047245" right="0.7874015748031497" top="0.984251968503937" bottom="0.984251968503937" header="0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Zeros="0" tabSelected="1" view="pageLayout" zoomScaleSheetLayoutView="100" workbookViewId="0" topLeftCell="A10">
      <selection activeCell="A29" sqref="A29"/>
    </sheetView>
  </sheetViews>
  <sheetFormatPr defaultColWidth="11.421875" defaultRowHeight="12.75"/>
  <cols>
    <col min="1" max="1" width="51.00390625" style="7" customWidth="1"/>
    <col min="2" max="2" width="9.8515625" style="8" customWidth="1"/>
    <col min="3" max="3" width="13.00390625" style="8" customWidth="1"/>
    <col min="4" max="4" width="8.140625" style="36" customWidth="1"/>
    <col min="5" max="5" width="15.28125" style="8" hidden="1" customWidth="1"/>
    <col min="6" max="6" width="10.421875" style="8" hidden="1" customWidth="1"/>
    <col min="7" max="7" width="12.28125" style="38" customWidth="1"/>
    <col min="8" max="8" width="9.28125" style="38" hidden="1" customWidth="1"/>
    <col min="9" max="11" width="0" style="1" hidden="1" customWidth="1"/>
    <col min="12" max="16384" width="11.421875" style="1" customWidth="1"/>
  </cols>
  <sheetData>
    <row r="1" spans="1:7" ht="13.5">
      <c r="A1" s="222" t="s">
        <v>136</v>
      </c>
      <c r="B1" s="222"/>
      <c r="C1" s="222"/>
      <c r="D1" s="222"/>
      <c r="E1" s="222"/>
      <c r="F1" s="222"/>
      <c r="G1" s="222"/>
    </row>
    <row r="2" spans="1:7" ht="13.5">
      <c r="A2" s="222" t="s">
        <v>137</v>
      </c>
      <c r="B2" s="222"/>
      <c r="C2" s="222"/>
      <c r="D2" s="222"/>
      <c r="E2" s="222"/>
      <c r="F2" s="222"/>
      <c r="G2" s="222"/>
    </row>
    <row r="3" spans="1:7" ht="13.5">
      <c r="A3" s="222" t="s">
        <v>139</v>
      </c>
      <c r="B3" s="222"/>
      <c r="C3" s="222"/>
      <c r="D3" s="222"/>
      <c r="E3" s="222"/>
      <c r="F3" s="222"/>
      <c r="G3" s="222"/>
    </row>
    <row r="4" spans="1:8" s="10" customFormat="1" ht="12.75">
      <c r="A4" s="129"/>
      <c r="C4" s="11"/>
      <c r="D4" s="11"/>
      <c r="E4" s="11"/>
      <c r="F4" s="11"/>
      <c r="G4" s="11"/>
      <c r="H4" s="11"/>
    </row>
    <row r="5" spans="1:14" s="2" customFormat="1" ht="16.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"/>
      <c r="L5" s="11"/>
      <c r="M5" s="11"/>
      <c r="N5" s="11"/>
    </row>
    <row r="6" spans="1:14" s="2" customFormat="1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8" s="3" customFormat="1" ht="18" customHeight="1">
      <c r="A7" s="223" t="s">
        <v>126</v>
      </c>
      <c r="B7" s="223"/>
      <c r="C7" s="223"/>
      <c r="D7" s="223"/>
      <c r="E7" s="223"/>
      <c r="F7" s="223"/>
      <c r="G7" s="223"/>
      <c r="H7" s="41"/>
    </row>
    <row r="8" spans="1:8" s="2" customFormat="1" ht="18" customHeight="1">
      <c r="A8" s="96"/>
      <c r="B8" s="97"/>
      <c r="C8" s="98"/>
      <c r="D8" s="101"/>
      <c r="E8" s="102"/>
      <c r="F8" s="102"/>
      <c r="G8" s="97"/>
      <c r="H8" s="37"/>
    </row>
    <row r="9" spans="1:8" s="4" customFormat="1" ht="15" customHeight="1">
      <c r="A9" s="220" t="s">
        <v>130</v>
      </c>
      <c r="B9" s="118" t="s">
        <v>0</v>
      </c>
      <c r="C9" s="118" t="s">
        <v>1</v>
      </c>
      <c r="D9" s="119" t="s">
        <v>2</v>
      </c>
      <c r="E9" s="120" t="s">
        <v>16</v>
      </c>
      <c r="F9" s="121" t="s">
        <v>12</v>
      </c>
      <c r="G9" s="122" t="s">
        <v>14</v>
      </c>
      <c r="H9" s="59"/>
    </row>
    <row r="10" spans="1:8" s="4" customFormat="1" ht="15" customHeight="1">
      <c r="A10" s="221"/>
      <c r="B10" s="123" t="s">
        <v>3</v>
      </c>
      <c r="C10" s="123"/>
      <c r="D10" s="124" t="s">
        <v>4</v>
      </c>
      <c r="E10" s="125" t="s">
        <v>15</v>
      </c>
      <c r="F10" s="126" t="s">
        <v>13</v>
      </c>
      <c r="G10" s="127"/>
      <c r="H10" s="59"/>
    </row>
    <row r="11" spans="1:8" s="4" customFormat="1" ht="15" customHeight="1">
      <c r="A11" s="99" t="s">
        <v>122</v>
      </c>
      <c r="B11" s="103" t="s">
        <v>123</v>
      </c>
      <c r="C11" s="104"/>
      <c r="D11" s="105"/>
      <c r="E11" s="106">
        <v>401.3075</v>
      </c>
      <c r="F11" s="107">
        <v>330</v>
      </c>
      <c r="G11" s="108">
        <v>1</v>
      </c>
      <c r="H11" s="59"/>
    </row>
    <row r="12" spans="1:14" ht="15.75" customHeight="1">
      <c r="A12" s="99" t="s">
        <v>63</v>
      </c>
      <c r="B12" s="103"/>
      <c r="C12" s="104" t="s">
        <v>76</v>
      </c>
      <c r="D12" s="105">
        <v>3000</v>
      </c>
      <c r="E12" s="106">
        <v>401.3075</v>
      </c>
      <c r="F12" s="107">
        <v>330</v>
      </c>
      <c r="G12" s="108">
        <v>1</v>
      </c>
      <c r="H12" s="60">
        <f aca="true" t="shared" si="0" ref="H12:H18">+E12/(F12*8)</f>
        <v>0.15201041666666668</v>
      </c>
      <c r="I12" s="1">
        <f aca="true" t="shared" si="1" ref="I12:I48">330*8</f>
        <v>2640</v>
      </c>
      <c r="J12" s="1">
        <f aca="true" t="shared" si="2" ref="J12:J48">+I12*2</f>
        <v>5280</v>
      </c>
      <c r="M12" s="1">
        <v>1</v>
      </c>
      <c r="N12" s="1">
        <f>240*9</f>
        <v>2160</v>
      </c>
    </row>
    <row r="13" spans="1:8" ht="15.75" customHeight="1">
      <c r="A13" s="99" t="s">
        <v>133</v>
      </c>
      <c r="B13" s="103"/>
      <c r="C13" s="104" t="s">
        <v>134</v>
      </c>
      <c r="D13" s="105"/>
      <c r="E13" s="106">
        <v>303.4369</v>
      </c>
      <c r="F13" s="107">
        <v>330</v>
      </c>
      <c r="G13" s="108">
        <v>3</v>
      </c>
      <c r="H13" s="60"/>
    </row>
    <row r="14" spans="1:14" ht="15.75" customHeight="1">
      <c r="A14" s="99" t="s">
        <v>121</v>
      </c>
      <c r="B14" s="103" t="s">
        <v>22</v>
      </c>
      <c r="C14" s="104" t="s">
        <v>51</v>
      </c>
      <c r="D14" s="105">
        <v>16475</v>
      </c>
      <c r="E14" s="106">
        <v>1853.4769000000003</v>
      </c>
      <c r="F14" s="107">
        <v>330</v>
      </c>
      <c r="G14" s="108">
        <v>1</v>
      </c>
      <c r="H14" s="60">
        <f t="shared" si="0"/>
        <v>0.7020745833333335</v>
      </c>
      <c r="I14" s="1">
        <f t="shared" si="1"/>
        <v>2640</v>
      </c>
      <c r="J14" s="1">
        <f t="shared" si="2"/>
        <v>5280</v>
      </c>
      <c r="M14" s="1">
        <v>3</v>
      </c>
      <c r="N14" s="1">
        <f aca="true" t="shared" si="3" ref="N14:N19">+M14*$N$12</f>
        <v>6480</v>
      </c>
    </row>
    <row r="15" spans="1:14" ht="15.75" customHeight="1">
      <c r="A15" s="99" t="s">
        <v>21</v>
      </c>
      <c r="B15" s="103" t="s">
        <v>23</v>
      </c>
      <c r="C15" s="104" t="s">
        <v>24</v>
      </c>
      <c r="D15" s="105">
        <v>1000</v>
      </c>
      <c r="E15" s="106">
        <v>1145.8848000000003</v>
      </c>
      <c r="F15" s="107">
        <v>330</v>
      </c>
      <c r="G15" s="108">
        <v>1</v>
      </c>
      <c r="H15" s="60">
        <f t="shared" si="0"/>
        <v>0.43404727272727284</v>
      </c>
      <c r="I15" s="1">
        <f t="shared" si="1"/>
        <v>2640</v>
      </c>
      <c r="J15" s="1">
        <f t="shared" si="2"/>
        <v>5280</v>
      </c>
      <c r="M15" s="1">
        <v>4</v>
      </c>
      <c r="N15" s="1">
        <f t="shared" si="3"/>
        <v>8640</v>
      </c>
    </row>
    <row r="16" spans="1:14" ht="15.75" customHeight="1">
      <c r="A16" s="99" t="str">
        <f>+'Mov-Desm. ETAPA 1'!B15</f>
        <v>CARGADOR S/LLANTAS 125-155 HP 3 YD3.</v>
      </c>
      <c r="B16" s="103" t="s">
        <v>69</v>
      </c>
      <c r="C16" s="104" t="s">
        <v>70</v>
      </c>
      <c r="D16" s="105">
        <f>+'Mov-Desm. ETAPA 1'!D15</f>
        <v>16584</v>
      </c>
      <c r="E16" s="106">
        <v>5817.472299999999</v>
      </c>
      <c r="F16" s="107">
        <v>330</v>
      </c>
      <c r="G16" s="108">
        <f>+'Mov-Desm. ETAPA 1'!A15</f>
        <v>3</v>
      </c>
      <c r="H16" s="60">
        <f t="shared" si="0"/>
        <v>2.203587992424242</v>
      </c>
      <c r="I16" s="1">
        <f t="shared" si="1"/>
        <v>2640</v>
      </c>
      <c r="J16" s="1">
        <f t="shared" si="2"/>
        <v>5280</v>
      </c>
      <c r="M16" s="1">
        <v>5</v>
      </c>
      <c r="N16" s="1">
        <f t="shared" si="3"/>
        <v>10800</v>
      </c>
    </row>
    <row r="17" spans="1:14" ht="15.75" customHeight="1">
      <c r="A17" s="99" t="str">
        <f>+'Mov-Desm. ETAPA 1'!B16</f>
        <v>CARGADOR S/LLANTAS 200-250 HP  4 -4.1YD3.</v>
      </c>
      <c r="B17" s="103" t="s">
        <v>199</v>
      </c>
      <c r="C17" s="104" t="s">
        <v>200</v>
      </c>
      <c r="D17" s="105">
        <f>+'Mov-Desm. ETAPA 1'!D16</f>
        <v>20830</v>
      </c>
      <c r="E17" s="106">
        <v>775.4594000000001</v>
      </c>
      <c r="F17" s="107">
        <v>330</v>
      </c>
      <c r="G17" s="108">
        <f>+'Mov-Desm. ETAPA 1'!A16</f>
        <v>5</v>
      </c>
      <c r="H17" s="60">
        <f t="shared" si="0"/>
        <v>0.29373462121212124</v>
      </c>
      <c r="I17" s="1">
        <f t="shared" si="1"/>
        <v>2640</v>
      </c>
      <c r="J17" s="1">
        <f t="shared" si="2"/>
        <v>5280</v>
      </c>
      <c r="M17" s="1">
        <v>6</v>
      </c>
      <c r="N17" s="1">
        <f t="shared" si="3"/>
        <v>12960</v>
      </c>
    </row>
    <row r="18" spans="1:14" ht="15.75" customHeight="1">
      <c r="A18" s="99" t="s">
        <v>19</v>
      </c>
      <c r="B18" s="103" t="s">
        <v>26</v>
      </c>
      <c r="C18" s="104" t="s">
        <v>45</v>
      </c>
      <c r="D18" s="105">
        <v>39000</v>
      </c>
      <c r="E18" s="106">
        <v>3858.6360000000004</v>
      </c>
      <c r="F18" s="107">
        <v>330</v>
      </c>
      <c r="G18" s="108">
        <v>2</v>
      </c>
      <c r="H18" s="60">
        <f t="shared" si="0"/>
        <v>1.4616045454545457</v>
      </c>
      <c r="I18" s="1">
        <f t="shared" si="1"/>
        <v>2640</v>
      </c>
      <c r="J18" s="1">
        <f t="shared" si="2"/>
        <v>5280</v>
      </c>
      <c r="M18" s="1">
        <v>8</v>
      </c>
      <c r="N18" s="1">
        <f t="shared" si="3"/>
        <v>17280</v>
      </c>
    </row>
    <row r="19" spans="1:15" ht="15.75" customHeight="1">
      <c r="A19" s="99" t="s">
        <v>66</v>
      </c>
      <c r="B19" s="103" t="s">
        <v>46</v>
      </c>
      <c r="C19" s="104" t="s">
        <v>67</v>
      </c>
      <c r="D19" s="105">
        <v>4000</v>
      </c>
      <c r="E19" s="106">
        <v>2488.3391</v>
      </c>
      <c r="F19" s="107">
        <v>330</v>
      </c>
      <c r="G19" s="108">
        <v>3</v>
      </c>
      <c r="H19" s="60" t="e">
        <f>+#REF!/(F19*8)</f>
        <v>#REF!</v>
      </c>
      <c r="I19" s="1">
        <f t="shared" si="1"/>
        <v>2640</v>
      </c>
      <c r="J19" s="1">
        <f t="shared" si="2"/>
        <v>5280</v>
      </c>
      <c r="M19" s="1">
        <v>10</v>
      </c>
      <c r="N19" s="1">
        <f t="shared" si="3"/>
        <v>21600</v>
      </c>
      <c r="O19" s="1">
        <f>37581/N12</f>
        <v>17.398611111111112</v>
      </c>
    </row>
    <row r="20" spans="1:8" ht="15.75" customHeight="1">
      <c r="A20" s="99" t="s">
        <v>20</v>
      </c>
      <c r="B20" s="103" t="s">
        <v>25</v>
      </c>
      <c r="C20" s="104"/>
      <c r="D20" s="105">
        <f>+'Mov-Desm. ETAPA 1'!D22</f>
        <v>11515</v>
      </c>
      <c r="E20" s="106"/>
      <c r="F20" s="107"/>
      <c r="G20" s="108">
        <v>1</v>
      </c>
      <c r="H20" s="60"/>
    </row>
    <row r="21" spans="1:10" ht="13.5">
      <c r="A21" s="99" t="s">
        <v>142</v>
      </c>
      <c r="B21" s="103" t="s">
        <v>143</v>
      </c>
      <c r="C21" s="104"/>
      <c r="D21" s="105">
        <f>+'Mov-Desm. ETAPA 1'!D23</f>
        <v>13540</v>
      </c>
      <c r="E21" s="106">
        <v>262.77760000000006</v>
      </c>
      <c r="F21" s="107">
        <v>330</v>
      </c>
      <c r="G21" s="108">
        <v>2</v>
      </c>
      <c r="H21" s="60" t="e">
        <f>+#REF!/(F21*8)</f>
        <v>#REF!</v>
      </c>
      <c r="I21" s="1">
        <f t="shared" si="1"/>
        <v>2640</v>
      </c>
      <c r="J21" s="1">
        <f t="shared" si="2"/>
        <v>5280</v>
      </c>
    </row>
    <row r="22" spans="1:10" ht="13.5">
      <c r="A22" s="99" t="s">
        <v>115</v>
      </c>
      <c r="B22" s="103" t="s">
        <v>116</v>
      </c>
      <c r="C22" s="104" t="s">
        <v>117</v>
      </c>
      <c r="D22" s="105">
        <v>12000</v>
      </c>
      <c r="E22" s="106">
        <v>2326.31</v>
      </c>
      <c r="F22" s="107">
        <v>330</v>
      </c>
      <c r="G22" s="108">
        <f>ROUND((+E22/(F22*8)),0)</f>
        <v>1</v>
      </c>
      <c r="H22" s="60">
        <f>+E23/(F22*8)</f>
        <v>0.5102116287878787</v>
      </c>
      <c r="I22" s="1">
        <f t="shared" si="1"/>
        <v>2640</v>
      </c>
      <c r="J22" s="1">
        <f t="shared" si="2"/>
        <v>5280</v>
      </c>
    </row>
    <row r="23" spans="1:14" ht="13.5">
      <c r="A23" s="99" t="s">
        <v>74</v>
      </c>
      <c r="B23" s="109" t="s">
        <v>73</v>
      </c>
      <c r="C23" s="103" t="s">
        <v>72</v>
      </c>
      <c r="D23" s="105">
        <v>46800</v>
      </c>
      <c r="E23" s="106">
        <v>1346.9587</v>
      </c>
      <c r="F23" s="107">
        <v>330</v>
      </c>
      <c r="G23" s="108">
        <v>1</v>
      </c>
      <c r="H23" s="60">
        <f>+E24/(F23*8)</f>
        <v>0.06039689393939394</v>
      </c>
      <c r="I23" s="1">
        <f t="shared" si="1"/>
        <v>2640</v>
      </c>
      <c r="J23" s="1">
        <f t="shared" si="2"/>
        <v>5280</v>
      </c>
      <c r="N23" s="1">
        <f>40000/N12</f>
        <v>18.51851851851852</v>
      </c>
    </row>
    <row r="24" spans="1:10" ht="13.5">
      <c r="A24" s="99" t="str">
        <f>+'Mov-Desm. ETAPA 1'!B26</f>
        <v>RETROEXCAVADORA SOBRE LLANTAS 58 HP 1 YD3</v>
      </c>
      <c r="B24" s="103" t="s">
        <v>203</v>
      </c>
      <c r="C24" s="104" t="s">
        <v>204</v>
      </c>
      <c r="D24" s="105">
        <v>9000</v>
      </c>
      <c r="E24" s="106">
        <v>159.4478</v>
      </c>
      <c r="F24" s="107">
        <v>330</v>
      </c>
      <c r="G24" s="108">
        <v>3</v>
      </c>
      <c r="H24" s="60" t="e">
        <f>+#REF!/(F24*8)</f>
        <v>#REF!</v>
      </c>
      <c r="I24" s="1">
        <f t="shared" si="1"/>
        <v>2640</v>
      </c>
      <c r="J24" s="1">
        <f t="shared" si="2"/>
        <v>5280</v>
      </c>
    </row>
    <row r="25" spans="1:8" ht="13.5">
      <c r="A25" s="99" t="s">
        <v>205</v>
      </c>
      <c r="B25" s="103" t="s">
        <v>124</v>
      </c>
      <c r="C25" s="110" t="s">
        <v>125</v>
      </c>
      <c r="D25" s="105">
        <v>11100</v>
      </c>
      <c r="E25" s="106">
        <v>111.2776</v>
      </c>
      <c r="F25" s="107">
        <v>330</v>
      </c>
      <c r="G25" s="108">
        <v>2</v>
      </c>
      <c r="H25" s="60"/>
    </row>
    <row r="26" spans="1:10" ht="13.5">
      <c r="A26" s="99" t="s">
        <v>207</v>
      </c>
      <c r="B26" s="103" t="s">
        <v>208</v>
      </c>
      <c r="C26" s="104" t="s">
        <v>206</v>
      </c>
      <c r="D26" s="105">
        <v>9000</v>
      </c>
      <c r="E26" s="106">
        <v>1324.2339</v>
      </c>
      <c r="F26" s="107">
        <v>330</v>
      </c>
      <c r="G26" s="108">
        <v>1</v>
      </c>
      <c r="H26" s="60">
        <f>+E27/(F26*8)</f>
        <v>0.50160375</v>
      </c>
      <c r="I26" s="1">
        <f t="shared" si="1"/>
        <v>2640</v>
      </c>
      <c r="J26" s="1">
        <f t="shared" si="2"/>
        <v>5280</v>
      </c>
    </row>
    <row r="27" spans="1:10" ht="13.5">
      <c r="A27" s="99" t="s">
        <v>211</v>
      </c>
      <c r="B27" s="103" t="s">
        <v>210</v>
      </c>
      <c r="C27" s="104" t="s">
        <v>209</v>
      </c>
      <c r="D27" s="105">
        <v>9000</v>
      </c>
      <c r="E27" s="106">
        <v>1324.2339</v>
      </c>
      <c r="F27" s="107">
        <v>330</v>
      </c>
      <c r="G27" s="108">
        <f>ROUND((+E27/(F27*8)),0)</f>
        <v>1</v>
      </c>
      <c r="H27" s="60" t="e">
        <f>+#REF!/(F27*8)</f>
        <v>#REF!</v>
      </c>
      <c r="I27" s="1">
        <f t="shared" si="1"/>
        <v>2640</v>
      </c>
      <c r="J27" s="1">
        <f t="shared" si="2"/>
        <v>5280</v>
      </c>
    </row>
    <row r="28" spans="1:10" ht="13.5" hidden="1">
      <c r="A28" s="99" t="s">
        <v>119</v>
      </c>
      <c r="B28" s="103" t="s">
        <v>120</v>
      </c>
      <c r="C28" s="104"/>
      <c r="D28" s="105">
        <v>14900</v>
      </c>
      <c r="E28" s="106">
        <v>1717.0833999999998</v>
      </c>
      <c r="F28" s="107">
        <v>330</v>
      </c>
      <c r="G28" s="108">
        <f>ROUND((+E28/(F28*8)),0)</f>
        <v>1</v>
      </c>
      <c r="H28" s="93">
        <v>255.99</v>
      </c>
      <c r="I28" s="91"/>
      <c r="J28" s="92">
        <f>+(F28+G28)*0.5</f>
        <v>165.5</v>
      </c>
    </row>
    <row r="29" spans="1:10" ht="13.5">
      <c r="A29" s="99" t="s">
        <v>119</v>
      </c>
      <c r="B29" s="103" t="s">
        <v>120</v>
      </c>
      <c r="C29" s="104"/>
      <c r="D29" s="105">
        <f>+'Mov-Desm. ETAPA 1'!D30</f>
        <v>14900</v>
      </c>
      <c r="E29" s="106"/>
      <c r="F29" s="107"/>
      <c r="G29" s="108">
        <v>1</v>
      </c>
      <c r="H29" s="131"/>
      <c r="I29" s="131"/>
      <c r="J29" s="132"/>
    </row>
    <row r="30" spans="1:10" ht="13.5">
      <c r="A30" s="99" t="s">
        <v>17</v>
      </c>
      <c r="B30" s="103" t="s">
        <v>27</v>
      </c>
      <c r="C30" s="104"/>
      <c r="D30" s="105">
        <f>+'Mov-Desm. ETAPA 1'!D31</f>
        <v>20520</v>
      </c>
      <c r="E30" s="106">
        <v>254.4249</v>
      </c>
      <c r="F30" s="107">
        <v>330</v>
      </c>
      <c r="G30" s="108">
        <v>6</v>
      </c>
      <c r="H30" s="60" t="e">
        <f>+#REF!/(F30*8)</f>
        <v>#REF!</v>
      </c>
      <c r="I30" s="1">
        <f t="shared" si="1"/>
        <v>2640</v>
      </c>
      <c r="J30" s="1">
        <f t="shared" si="2"/>
        <v>5280</v>
      </c>
    </row>
    <row r="31" spans="1:8" ht="13.5">
      <c r="A31" s="99" t="s">
        <v>194</v>
      </c>
      <c r="B31" s="103" t="s">
        <v>197</v>
      </c>
      <c r="C31" s="104"/>
      <c r="D31" s="105">
        <f>+'Mov-Desm. ETAPA 1'!D32</f>
        <v>31980</v>
      </c>
      <c r="E31" s="106"/>
      <c r="F31" s="107"/>
      <c r="G31" s="108">
        <v>2</v>
      </c>
      <c r="H31" s="60"/>
    </row>
    <row r="32" spans="1:10" ht="13.5">
      <c r="A32" s="99" t="s">
        <v>44</v>
      </c>
      <c r="B32" s="103" t="s">
        <v>28</v>
      </c>
      <c r="C32" s="104"/>
      <c r="D32" s="105">
        <v>4320</v>
      </c>
      <c r="E32" s="106">
        <v>1658.7691</v>
      </c>
      <c r="F32" s="107">
        <v>330</v>
      </c>
      <c r="G32" s="108">
        <f>ROUND((+E32/(F32*8)),0)</f>
        <v>1</v>
      </c>
      <c r="H32" s="60" t="e">
        <f>+#REF!/(F32*8)</f>
        <v>#REF!</v>
      </c>
      <c r="I32" s="1">
        <f t="shared" si="1"/>
        <v>2640</v>
      </c>
      <c r="J32" s="1">
        <f t="shared" si="2"/>
        <v>5280</v>
      </c>
    </row>
    <row r="33" spans="1:10" ht="13.5">
      <c r="A33" s="99" t="s">
        <v>64</v>
      </c>
      <c r="B33" s="103" t="s">
        <v>52</v>
      </c>
      <c r="C33" s="104" t="s">
        <v>68</v>
      </c>
      <c r="D33" s="105">
        <v>27500</v>
      </c>
      <c r="E33" s="106">
        <v>26884.807699999994</v>
      </c>
      <c r="F33" s="107">
        <v>330</v>
      </c>
      <c r="G33" s="108">
        <v>26</v>
      </c>
      <c r="H33" s="60">
        <f>+E33/(F33*8)</f>
        <v>10.183639280303028</v>
      </c>
      <c r="I33" s="1">
        <f t="shared" si="1"/>
        <v>2640</v>
      </c>
      <c r="J33" s="1">
        <f t="shared" si="2"/>
        <v>5280</v>
      </c>
    </row>
    <row r="34" spans="1:10" ht="13.5">
      <c r="A34" s="100" t="s">
        <v>18</v>
      </c>
      <c r="B34" s="111" t="s">
        <v>47</v>
      </c>
      <c r="C34" s="112"/>
      <c r="D34" s="113">
        <v>7000</v>
      </c>
      <c r="E34" s="106">
        <v>2511.2782</v>
      </c>
      <c r="F34" s="114">
        <v>330</v>
      </c>
      <c r="G34" s="115">
        <v>4</v>
      </c>
      <c r="H34" s="60">
        <f>+E34/(F34*8)</f>
        <v>0.9512417424242425</v>
      </c>
      <c r="I34" s="1">
        <f t="shared" si="1"/>
        <v>2640</v>
      </c>
      <c r="J34" s="1">
        <f t="shared" si="2"/>
        <v>5280</v>
      </c>
    </row>
    <row r="35" spans="1:10" ht="13.5">
      <c r="A35" s="45"/>
      <c r="I35" s="1">
        <f t="shared" si="1"/>
        <v>2640</v>
      </c>
      <c r="J35" s="1">
        <f t="shared" si="2"/>
        <v>5280</v>
      </c>
    </row>
    <row r="36" spans="1:10" ht="13.5">
      <c r="A36" s="45"/>
      <c r="I36" s="1">
        <f t="shared" si="1"/>
        <v>2640</v>
      </c>
      <c r="J36" s="1">
        <f t="shared" si="2"/>
        <v>5280</v>
      </c>
    </row>
    <row r="37" spans="1:10" ht="13.5">
      <c r="A37" s="45"/>
      <c r="I37" s="1">
        <f t="shared" si="1"/>
        <v>2640</v>
      </c>
      <c r="J37" s="1">
        <f t="shared" si="2"/>
        <v>5280</v>
      </c>
    </row>
    <row r="38" spans="9:10" ht="13.5">
      <c r="I38" s="1">
        <f t="shared" si="1"/>
        <v>2640</v>
      </c>
      <c r="J38" s="1">
        <f t="shared" si="2"/>
        <v>5280</v>
      </c>
    </row>
    <row r="39" spans="9:10" ht="13.5">
      <c r="I39" s="1">
        <f t="shared" si="1"/>
        <v>2640</v>
      </c>
      <c r="J39" s="1">
        <f t="shared" si="2"/>
        <v>5280</v>
      </c>
    </row>
    <row r="40" spans="9:10" ht="13.5">
      <c r="I40" s="1">
        <f t="shared" si="1"/>
        <v>2640</v>
      </c>
      <c r="J40" s="1">
        <f t="shared" si="2"/>
        <v>5280</v>
      </c>
    </row>
    <row r="41" spans="9:10" ht="13.5">
      <c r="I41" s="1">
        <f t="shared" si="1"/>
        <v>2640</v>
      </c>
      <c r="J41" s="1">
        <f t="shared" si="2"/>
        <v>5280</v>
      </c>
    </row>
    <row r="42" spans="9:10" ht="13.5">
      <c r="I42" s="1">
        <f t="shared" si="1"/>
        <v>2640</v>
      </c>
      <c r="J42" s="1">
        <f t="shared" si="2"/>
        <v>5280</v>
      </c>
    </row>
    <row r="43" spans="9:10" ht="13.5">
      <c r="I43" s="1">
        <f t="shared" si="1"/>
        <v>2640</v>
      </c>
      <c r="J43" s="1">
        <f t="shared" si="2"/>
        <v>5280</v>
      </c>
    </row>
    <row r="44" spans="9:10" ht="13.5">
      <c r="I44" s="1">
        <f t="shared" si="1"/>
        <v>2640</v>
      </c>
      <c r="J44" s="1">
        <f t="shared" si="2"/>
        <v>5280</v>
      </c>
    </row>
    <row r="45" spans="9:10" ht="13.5">
      <c r="I45" s="1">
        <f t="shared" si="1"/>
        <v>2640</v>
      </c>
      <c r="J45" s="1">
        <f t="shared" si="2"/>
        <v>5280</v>
      </c>
    </row>
    <row r="46" spans="9:10" ht="13.5">
      <c r="I46" s="1">
        <f t="shared" si="1"/>
        <v>2640</v>
      </c>
      <c r="J46" s="1">
        <f t="shared" si="2"/>
        <v>5280</v>
      </c>
    </row>
    <row r="47" spans="9:10" ht="13.5">
      <c r="I47" s="1">
        <f t="shared" si="1"/>
        <v>2640</v>
      </c>
      <c r="J47" s="1">
        <f t="shared" si="2"/>
        <v>5280</v>
      </c>
    </row>
    <row r="48" spans="9:10" ht="13.5">
      <c r="I48" s="1">
        <f t="shared" si="1"/>
        <v>2640</v>
      </c>
      <c r="J48" s="1">
        <f t="shared" si="2"/>
        <v>5280</v>
      </c>
    </row>
  </sheetData>
  <sheetProtection/>
  <mergeCells count="5">
    <mergeCell ref="A9:A10"/>
    <mergeCell ref="A1:G1"/>
    <mergeCell ref="A2:G2"/>
    <mergeCell ref="A3:G3"/>
    <mergeCell ref="A7:G7"/>
  </mergeCells>
  <printOptions/>
  <pageMargins left="0.984251968503937" right="0.7874015748031497" top="0.984251968503937" bottom="0.7874015748031497" header="0.35433070866141736" footer="0.4330708661417323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AIDA ARTEAGA</cp:lastModifiedBy>
  <cp:lastPrinted>2009-09-09T05:02:01Z</cp:lastPrinted>
  <dcterms:created xsi:type="dcterms:W3CDTF">1997-05-06T20:03:13Z</dcterms:created>
  <dcterms:modified xsi:type="dcterms:W3CDTF">2009-09-09T05:02:07Z</dcterms:modified>
  <cp:category/>
  <cp:version/>
  <cp:contentType/>
  <cp:contentStatus/>
</cp:coreProperties>
</file>