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690" windowHeight="5460" tabRatio="725" activeTab="4"/>
  </bookViews>
  <sheets>
    <sheet name="Resumen" sheetId="1" r:id="rId1"/>
    <sheet name="FIJOS" sheetId="2" r:id="rId2"/>
    <sheet name="VARIABLES" sheetId="3" r:id="rId3"/>
    <sheet name="movilidad" sheetId="4" r:id="rId4"/>
    <sheet name="alimentacion" sheetId="5" r:id="rId5"/>
    <sheet name="Ensayo no destructivo" sheetId="6" r:id="rId6"/>
    <sheet name="financiera" sheetId="7" r:id="rId7"/>
    <sheet name="Seguros " sheetId="8" r:id="rId8"/>
  </sheets>
  <externalReferences>
    <externalReference r:id="rId11"/>
  </externalReferences>
  <definedNames>
    <definedName name="_xlnm.Print_Area" localSheetId="4">'alimentacion'!$A$1:$G$85</definedName>
    <definedName name="_xlnm.Print_Area" localSheetId="5">'Ensayo no destructivo'!$A$1:$I$56</definedName>
    <definedName name="_xlnm.Print_Area" localSheetId="1">'FIJOS'!$A$12:$G$82</definedName>
    <definedName name="_xlnm.Print_Area" localSheetId="6">'financiera'!$A$5:$M$59</definedName>
    <definedName name="_xlnm.Print_Area" localSheetId="3">'movilidad'!$A$1:$H$84</definedName>
    <definedName name="_xlnm.Print_Area" localSheetId="0">'Resumen'!$A$1:$G$46</definedName>
    <definedName name="_xlnm.Print_Area" localSheetId="7">'Seguros '!$A$1:$M$64</definedName>
    <definedName name="_xlnm.Print_Area" localSheetId="2">'VARIABLES'!$A$14:$G$199</definedName>
    <definedName name="CABEZA">'VARIABLES'!$A$1:$G$15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'Resumen'!$A$16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USTENTO">'VARIABLES'!$A$16:$G$199</definedName>
    <definedName name="_xlnm.Print_Titles" localSheetId="4">'alimentacion'!$1:$11</definedName>
    <definedName name="_xlnm.Print_Titles" localSheetId="1">'FIJOS'!$1:$10</definedName>
    <definedName name="_xlnm.Print_Titles" localSheetId="3">'movilidad'!$1:$10</definedName>
    <definedName name="_xlnm.Print_Titles" localSheetId="7">'Seguros '!$1:$12</definedName>
    <definedName name="_xlnm.Print_Titles" localSheetId="2">'VARIABLES'!$1:$10</definedName>
  </definedNames>
  <calcPr fullCalcOnLoad="1" iterate="1" iterateCount="10" iterateDelta="0.01"/>
</workbook>
</file>

<file path=xl/sharedStrings.xml><?xml version="1.0" encoding="utf-8"?>
<sst xmlns="http://schemas.openxmlformats.org/spreadsheetml/2006/main" count="931" uniqueCount="503">
  <si>
    <t>DURACION DE LA OBRA (meses)</t>
  </si>
  <si>
    <t>COSTO DIRECTO</t>
  </si>
  <si>
    <t>ITEM</t>
  </si>
  <si>
    <t>DESCRIPCION</t>
  </si>
  <si>
    <t>U</t>
  </si>
  <si>
    <t>CANTIDAD</t>
  </si>
  <si>
    <t>VALOR UNITARIO</t>
  </si>
  <si>
    <t>VALOR TOTAL</t>
  </si>
  <si>
    <t>DESCR</t>
  </si>
  <si>
    <t>UNIDAD</t>
  </si>
  <si>
    <t>S/. / u</t>
  </si>
  <si>
    <t>S/.</t>
  </si>
  <si>
    <t>m2</t>
  </si>
  <si>
    <t>MONTO TOTAL CAMPAMENTO</t>
  </si>
  <si>
    <t>GASTOS ADMINISTRATIVOS</t>
  </si>
  <si>
    <t>est</t>
  </si>
  <si>
    <t>u</t>
  </si>
  <si>
    <t>TOTAL DE GASTOS ADMINISTRATIVOS</t>
  </si>
  <si>
    <t>mes</t>
  </si>
  <si>
    <t>LIQUIDACION DE OBRA</t>
  </si>
  <si>
    <t>Ingeniero Residente</t>
  </si>
  <si>
    <t>Secretaria</t>
  </si>
  <si>
    <t xml:space="preserve">Leyes Sociales </t>
  </si>
  <si>
    <t>glb</t>
  </si>
  <si>
    <t>Comunicaciones</t>
  </si>
  <si>
    <t>Utiles de Oficina</t>
  </si>
  <si>
    <t>TOTAL COSTO LIQUIDACION DE OBRA</t>
  </si>
  <si>
    <t>IMPUESTOS</t>
  </si>
  <si>
    <t>SENCICO (0.2% presupuesto sin igv)</t>
  </si>
  <si>
    <t>TOTAL COSTO IMPUESTOS</t>
  </si>
  <si>
    <t>Maestro Capataz General</t>
  </si>
  <si>
    <t>Dibujante en Autocad</t>
  </si>
  <si>
    <t>Personal Profesional</t>
  </si>
  <si>
    <t>EQUIPOS NO INCLUIDOS EN LOS COSTOS DIRECTOS</t>
  </si>
  <si>
    <t>Gerente de Obra</t>
  </si>
  <si>
    <t>GASTOS FINANCIEROS (ver hoja de calculo anexa)</t>
  </si>
  <si>
    <t>Carta Fianza de Fiel Cumplimiento del Contrato</t>
  </si>
  <si>
    <t>Carta Fianza de Beneficios Sociales (Ley 20024)</t>
  </si>
  <si>
    <t>ALIMENTACION Y VIATICOS</t>
  </si>
  <si>
    <t>MESES</t>
  </si>
  <si>
    <t>PARCIAL</t>
  </si>
  <si>
    <t># VIAJES IDA/VUELTA</t>
  </si>
  <si>
    <t># SALIDAS</t>
  </si>
  <si>
    <t>COSTO PASAJE</t>
  </si>
  <si>
    <t>Tasa:</t>
  </si>
  <si>
    <t>Comisión del Banco :</t>
  </si>
  <si>
    <t>Período(Meses)     :</t>
  </si>
  <si>
    <t>Monto Aplicable:</t>
  </si>
  <si>
    <t>Período (Meses)    :</t>
  </si>
  <si>
    <t>Período Neto       :</t>
  </si>
  <si>
    <t>Meses</t>
  </si>
  <si>
    <t>Carta Fianza renovable cada :</t>
  </si>
  <si>
    <t>Monto de la Carta Fianza</t>
  </si>
  <si>
    <t>Garantía Bancaria</t>
  </si>
  <si>
    <t>COBERTURA (U.S.$) :</t>
  </si>
  <si>
    <t>COBERTURA</t>
  </si>
  <si>
    <t>Oficinas de la Supervisión</t>
  </si>
  <si>
    <t>%</t>
  </si>
  <si>
    <t xml:space="preserve">GASTOS FINANCIEROS </t>
  </si>
  <si>
    <t>Unidad</t>
  </si>
  <si>
    <t>und</t>
  </si>
  <si>
    <t>hm</t>
  </si>
  <si>
    <t>ANALISIS DE COSTO x KM</t>
  </si>
  <si>
    <t>MANO DE OBRA</t>
  </si>
  <si>
    <t>Cantidad</t>
  </si>
  <si>
    <t>Precio</t>
  </si>
  <si>
    <t>Parcial</t>
  </si>
  <si>
    <t>Subtotal</t>
  </si>
  <si>
    <t>hh</t>
  </si>
  <si>
    <t>MATERIALES</t>
  </si>
  <si>
    <t>EQUIPOS</t>
  </si>
  <si>
    <t>‰</t>
  </si>
  <si>
    <t>Tasa Básica:</t>
  </si>
  <si>
    <t>COBERTURA  ( S/. )  :</t>
  </si>
  <si>
    <t>Porcentaje Aplicable del C.T.</t>
  </si>
  <si>
    <t>Beneficios  Sociales</t>
  </si>
  <si>
    <t>COSTO DIRECTO (NUEVOS SOLES)</t>
  </si>
  <si>
    <t>DURACION DE LA OBRA (MESES)</t>
  </si>
  <si>
    <t>MONEDA NACIONAL</t>
  </si>
  <si>
    <t>GASTOS GENERALES</t>
  </si>
  <si>
    <t>1.-</t>
  </si>
  <si>
    <t>A.-</t>
  </si>
  <si>
    <t>GASTOS FIJOS</t>
  </si>
  <si>
    <t>No directamente relacionados con el tiempo</t>
  </si>
  <si>
    <t>B.-</t>
  </si>
  <si>
    <t>GASTOS VARIABLES</t>
  </si>
  <si>
    <t>Directamente relacionados con el tiempo</t>
  </si>
  <si>
    <t>TOTAL DE GASTOS GENERALES</t>
  </si>
  <si>
    <t>2.-</t>
  </si>
  <si>
    <t>UTILIDAD</t>
  </si>
  <si>
    <t>3.-</t>
  </si>
  <si>
    <t>I.G.V.</t>
  </si>
  <si>
    <t>Monto del Contrato (Costo Directo)</t>
  </si>
  <si>
    <t>PRESUPUESTO REFERENCIAL INC IGV</t>
  </si>
  <si>
    <t>Cuadrilla</t>
  </si>
  <si>
    <t>Programa de Capacitación y Educación Ambiental</t>
  </si>
  <si>
    <t>COMPONENTES DE LOS GASTOS GENERALES</t>
  </si>
  <si>
    <t>ENSAYOS NO DESTRUCTIVOS</t>
  </si>
  <si>
    <t>OFICIAL</t>
  </si>
  <si>
    <t>PEON</t>
  </si>
  <si>
    <t>TÉCNICO</t>
  </si>
  <si>
    <t>CONO DE SEGURIDAD</t>
  </si>
  <si>
    <t>CHALECO DE SEGURIDAD</t>
  </si>
  <si>
    <t>SEÑALES</t>
  </si>
  <si>
    <t>CAMION VOLQUETE 15 m3</t>
  </si>
  <si>
    <t>DEFLECTOMETRO - VIGA BENKELMAN</t>
  </si>
  <si>
    <t>COSTO POR KM (S/.)</t>
  </si>
  <si>
    <t>LONGITUD DEL TRAMO (KM)</t>
  </si>
  <si>
    <t>NRO DE PASADAS</t>
  </si>
  <si>
    <t>Rendimiento (km/día):</t>
  </si>
  <si>
    <t>RUGOSÍMETRO</t>
  </si>
  <si>
    <t>EQUIPOS VARIOS</t>
  </si>
  <si>
    <t>ESTUDIO DE DEFLECTOMETRÍA (S/.)</t>
  </si>
  <si>
    <t>ESTUDIO DE RUGOSIDAD (S/.)</t>
  </si>
  <si>
    <t>A.- PERSONAL  PROFESIONAL</t>
  </si>
  <si>
    <t>B.- PERSONAL  TECNICO</t>
  </si>
  <si>
    <t>SUB-TOTAL (S/.)</t>
  </si>
  <si>
    <t>C.- PERSONAL  ASISTENTES Y AUXILIAR</t>
  </si>
  <si>
    <t xml:space="preserve">A.- GARANTIA DE SERIEDAD DE LA PROPUESTA </t>
  </si>
  <si>
    <t>SUBTOTAL DE GASTOS FINANCIEROS (S/.)</t>
  </si>
  <si>
    <t>COSTO FINANCIERO (S/.)</t>
  </si>
  <si>
    <t>B.- GARANTIA DE FIEL CUMPLIMIENTO DEL CONTRATO</t>
  </si>
  <si>
    <t>D.- GARANTIA DE LOS BENEFICIOS SOCIALES DE LOS TRABAJADORES</t>
  </si>
  <si>
    <t>A.- SEGUROS DE ACCIDENTES PERSONALES</t>
  </si>
  <si>
    <t>B.- SEGURO COMPLEMENTARIO DE TRABAJO DE RIESGO</t>
  </si>
  <si>
    <t>C.- SEGUROS DE VIDA</t>
  </si>
  <si>
    <t>D.- RESPONSABILIDAD CIVIL CONTRA TERCEROS</t>
  </si>
  <si>
    <t>F.- SEGUROS CONTRA REMOCION DE ESCOMBROS</t>
  </si>
  <si>
    <t>SUBTOTAL (S/.)</t>
  </si>
  <si>
    <t xml:space="preserve">Del Sub-Total </t>
  </si>
  <si>
    <t>Fecha del Presupuesto :</t>
  </si>
  <si>
    <t>1.00</t>
  </si>
  <si>
    <t>1.01</t>
  </si>
  <si>
    <t>1.02</t>
  </si>
  <si>
    <t>1.03</t>
  </si>
  <si>
    <t>1.04</t>
  </si>
  <si>
    <t>1.05</t>
  </si>
  <si>
    <t>1.06</t>
  </si>
  <si>
    <t>1.07</t>
  </si>
  <si>
    <t>1.08</t>
  </si>
  <si>
    <t>2.00</t>
  </si>
  <si>
    <t>2.01</t>
  </si>
  <si>
    <t>2.02</t>
  </si>
  <si>
    <t>2.03</t>
  </si>
  <si>
    <t>2.04</t>
  </si>
  <si>
    <t>3.00</t>
  </si>
  <si>
    <t>3.01</t>
  </si>
  <si>
    <t>3.02</t>
  </si>
  <si>
    <t>3.03</t>
  </si>
  <si>
    <t>3.04</t>
  </si>
  <si>
    <t>3.05</t>
  </si>
  <si>
    <t>3.06</t>
  </si>
  <si>
    <t>3.07</t>
  </si>
  <si>
    <t>3.08</t>
  </si>
  <si>
    <t>3.09</t>
  </si>
  <si>
    <t>4.00</t>
  </si>
  <si>
    <t>4.01</t>
  </si>
  <si>
    <t xml:space="preserve">   TOTAL GASTOS GENERALES FIJOS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</si>
  <si>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</si>
  <si>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</si>
  <si>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</si>
  <si>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</si>
  <si>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</si>
  <si>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</si>
  <si>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</si>
  <si>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</si>
  <si>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</si>
  <si>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</si>
  <si>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</si>
  <si>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</si>
  <si>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 xml:space="preserve"> TOTAL MOVILIZACIÓN Y DESMOVILIZACIÓN</t>
  </si>
  <si>
    <t>CONTROL TÉCNICO Y OTROS</t>
  </si>
  <si>
    <t>Beneficios Sociales</t>
  </si>
  <si>
    <t>Personal Técnico</t>
  </si>
  <si>
    <t>1.22</t>
  </si>
  <si>
    <t>PERSONAL</t>
  </si>
  <si>
    <t>TOTAL DIAS</t>
  </si>
  <si>
    <t xml:space="preserve"> TOTAL COSTO ALIMENTACIÓN</t>
  </si>
  <si>
    <t>4.02</t>
  </si>
  <si>
    <t>4.03</t>
  </si>
  <si>
    <t>5.00</t>
  </si>
  <si>
    <t>5.01</t>
  </si>
  <si>
    <t>5.02</t>
  </si>
  <si>
    <t xml:space="preserve"> TOTAL COSTO CONTROL TÉCNICO Y OTROS</t>
  </si>
  <si>
    <t>6.00</t>
  </si>
  <si>
    <t>6.01</t>
  </si>
  <si>
    <t>6.02</t>
  </si>
  <si>
    <t>7.00</t>
  </si>
  <si>
    <t>7.01</t>
  </si>
  <si>
    <t>7.02</t>
  </si>
  <si>
    <t>7.03</t>
  </si>
  <si>
    <t>7.04</t>
  </si>
  <si>
    <t>7.05</t>
  </si>
  <si>
    <t>GASTOS DE OFICINA PRINCIPAL Y MATERIALES</t>
  </si>
  <si>
    <t xml:space="preserve"> TOTAL GASTOS DE OFICINA PRINCIPAL Y MATERIALES</t>
  </si>
  <si>
    <t>8.00</t>
  </si>
  <si>
    <t>8.01</t>
  </si>
  <si>
    <t xml:space="preserve"> TOTAL GASTOS FINANCIEROS</t>
  </si>
  <si>
    <t>C.1.- GARANTIA DEL ADELANTO DIRECTO</t>
  </si>
  <si>
    <t>C.2.- GARANTIA DEL ADELANTO PARA MATERIALES</t>
  </si>
  <si>
    <t>Carta Fianza de Adelanto en Efectivo y para Materiales</t>
  </si>
  <si>
    <t>Período (Meses)   :</t>
  </si>
  <si>
    <t>G.- RESPONSABILIDAD CIVIL DE PROPIEDAD ADYACENTE</t>
  </si>
  <si>
    <t>TOTAL DE GASTOS FINANCIEROS POR SEGUROS  (S/.)</t>
  </si>
  <si>
    <t>9.00</t>
  </si>
  <si>
    <t>9.01</t>
  </si>
  <si>
    <t>9.02</t>
  </si>
  <si>
    <t>9.03</t>
  </si>
  <si>
    <t>9.04</t>
  </si>
  <si>
    <t>SEGUROS (Ver hoja de cálculo anexa)</t>
  </si>
  <si>
    <t xml:space="preserve"> TOTAL COSTO DE SEGUROS</t>
  </si>
  <si>
    <t xml:space="preserve">   TOTAL GASTOS GENERALES VARIABLES</t>
  </si>
  <si>
    <t xml:space="preserve">  Costo por emisión de Póliza </t>
  </si>
  <si>
    <t>MOVILIZACIÓN Y DESMOVILIZACIÓN DEL PERSONAL (ver hoja anexa de calculo)</t>
  </si>
  <si>
    <t>MOVILIZACIÓN Y DESMOVILIZACIÓN DEL PERSONAL</t>
  </si>
  <si>
    <t>Ensayos No Destructivos (Rugosidad / Deflexiones)</t>
  </si>
  <si>
    <t>SEGUROS</t>
  </si>
  <si>
    <t>3.10</t>
  </si>
  <si>
    <t xml:space="preserve">Especialista en Impacto Ambiental </t>
  </si>
  <si>
    <t>1.23</t>
  </si>
  <si>
    <t>Dibujante</t>
  </si>
  <si>
    <t>PRESUPUESTO REFERENCIAL SIN IGV</t>
  </si>
  <si>
    <t>Mov. y Desmov. de equipos no incluido en los Costos Directos</t>
  </si>
  <si>
    <t>1.24</t>
  </si>
  <si>
    <t>3.11</t>
  </si>
  <si>
    <t xml:space="preserve"> MANTENIMIENTO (Incl. Servicios)</t>
  </si>
  <si>
    <t xml:space="preserve"> MONTO ASIGNADO A LA OBRA</t>
  </si>
  <si>
    <t>Gastos de Licitación y Elaboración de Propuesta (Incl. viaje)</t>
  </si>
  <si>
    <t>Gastos Legales (Notariales)</t>
  </si>
  <si>
    <t>Gastos Varios (Fotocopias, etc)</t>
  </si>
  <si>
    <t>Cartel de Obra</t>
  </si>
  <si>
    <t>TOTAL</t>
  </si>
  <si>
    <t>INGENIERIA</t>
  </si>
  <si>
    <t>ADMINISTRACION</t>
  </si>
  <si>
    <t>SUBTOTAL</t>
  </si>
  <si>
    <t>Especialista en Sistemas</t>
  </si>
  <si>
    <t>Encargado de Personal</t>
  </si>
  <si>
    <t>Encargado de Almacén</t>
  </si>
  <si>
    <t>Encargado de Campamento</t>
  </si>
  <si>
    <t>1.26</t>
  </si>
  <si>
    <t>1.27</t>
  </si>
  <si>
    <t>Electricista</t>
  </si>
  <si>
    <t>Soldador</t>
  </si>
  <si>
    <t>Lubricador</t>
  </si>
  <si>
    <t>Llantero</t>
  </si>
  <si>
    <t>Tornero</t>
  </si>
  <si>
    <t>1.28</t>
  </si>
  <si>
    <t>1.29</t>
  </si>
  <si>
    <t>1.30</t>
  </si>
  <si>
    <t>1.31</t>
  </si>
  <si>
    <t>1.32</t>
  </si>
  <si>
    <t>1.33</t>
  </si>
  <si>
    <t>1.34</t>
  </si>
  <si>
    <t>1.35</t>
  </si>
  <si>
    <t>Densímetro Nuclear</t>
  </si>
  <si>
    <t>3.12</t>
  </si>
  <si>
    <t>1.36</t>
  </si>
  <si>
    <t>Varios</t>
  </si>
  <si>
    <t>6.03</t>
  </si>
  <si>
    <t>PERSONAL DE OBRA</t>
  </si>
  <si>
    <t xml:space="preserve"> TOTAL REMUNERACIÓN PERSONAL DE OBRA</t>
  </si>
  <si>
    <t>ALIMENTACIÓN Y VIÁTICOS (ver hoja anexa de cálculo)</t>
  </si>
  <si>
    <t>Camión Abastecedor (*)</t>
  </si>
  <si>
    <t>Camión Lubricador (*)</t>
  </si>
  <si>
    <t>Auxiliar de Laboratorio</t>
  </si>
  <si>
    <t>Camionetas Pick Up Doble Cabina 4x4 c/radio transmisor (*)</t>
  </si>
  <si>
    <t>Camionetas Pick Up Cabina Simple 4x2 c/radio transmisor (*)</t>
  </si>
  <si>
    <t>1.37</t>
  </si>
  <si>
    <t>Ensayos Especiales de Laboratorio</t>
  </si>
  <si>
    <t xml:space="preserve">ANÁLISIS DE GASTOS GENERALES </t>
  </si>
  <si>
    <t>ANÁLISIS DE GASTOS GENERALES</t>
  </si>
  <si>
    <t>Especialista de Suelos y Pavimentos</t>
  </si>
  <si>
    <t>Especialista de Obras de Arte y Drenaje</t>
  </si>
  <si>
    <t>Jefe de Laboratorio</t>
  </si>
  <si>
    <t>Jefe de Topografia</t>
  </si>
  <si>
    <t>Topografo</t>
  </si>
  <si>
    <t>Nivelador</t>
  </si>
  <si>
    <t>1.38</t>
  </si>
  <si>
    <t>1.39</t>
  </si>
  <si>
    <t>COSTOS AMBIENTALES</t>
  </si>
  <si>
    <t>10.00</t>
  </si>
  <si>
    <t>10.01</t>
  </si>
  <si>
    <t>10.02</t>
  </si>
  <si>
    <t>10.03</t>
  </si>
  <si>
    <t>10.04</t>
  </si>
  <si>
    <t>8.06</t>
  </si>
  <si>
    <t>8.07</t>
  </si>
  <si>
    <t xml:space="preserve"> MONTAJE Y DESMONTAJE</t>
  </si>
  <si>
    <t>Oficinas</t>
  </si>
  <si>
    <t>Almacenes</t>
  </si>
  <si>
    <t>Comedores Ingenieros</t>
  </si>
  <si>
    <t>Comedores Empleados y Técnicos</t>
  </si>
  <si>
    <t>Comedores Operadores y Obreros</t>
  </si>
  <si>
    <t>Vivienda Ingenieros</t>
  </si>
  <si>
    <t>Vivienda Empleados y Técnicos</t>
  </si>
  <si>
    <t>Vivienda Operadores y Obreros</t>
  </si>
  <si>
    <t>Vje.</t>
  </si>
  <si>
    <t xml:space="preserve"> MOVILIZACION Y DESMOVILIZACION</t>
  </si>
  <si>
    <t>Laboratorios (incl. Pozas)</t>
  </si>
  <si>
    <t>EQUIPAMIENTO</t>
  </si>
  <si>
    <t>Glb</t>
  </si>
  <si>
    <t>MONTO TOTAL EQUIPAMIENTO</t>
  </si>
  <si>
    <t>Fotocopias Planos</t>
  </si>
  <si>
    <t>Fotocopias Documentos</t>
  </si>
  <si>
    <t xml:space="preserve">Empastado, Encuadernado, Anillados </t>
  </si>
  <si>
    <t>Movilización Coordinaciones</t>
  </si>
  <si>
    <t>3.13</t>
  </si>
  <si>
    <t>3.14</t>
  </si>
  <si>
    <t>Planta Tratamiento de Agua (Incl. Tanque almacenamiento)</t>
  </si>
  <si>
    <t>Ingeniero Residente de Obra</t>
  </si>
  <si>
    <t>Jefe de Oficina Técnica</t>
  </si>
  <si>
    <t>Ing. Producción</t>
  </si>
  <si>
    <t>Ing. Responsable de Equipos</t>
  </si>
  <si>
    <t>Ing. Responsable Plantas</t>
  </si>
  <si>
    <t>Mecánico Equipo Pesado</t>
  </si>
  <si>
    <t>Mecánico Equipo Liviano</t>
  </si>
  <si>
    <t>Ing. Asistente de Equipos</t>
  </si>
  <si>
    <t>Ayudantes (zona)</t>
  </si>
  <si>
    <t>Responsable de Seguridad en Obra</t>
  </si>
  <si>
    <t>Administrador de Obra</t>
  </si>
  <si>
    <t>Contador</t>
  </si>
  <si>
    <t>Ayudante de Almacén (zona)</t>
  </si>
  <si>
    <t>Auxiliar Administrativo (zona)</t>
  </si>
  <si>
    <t>Mantenimiento y Limpieza (zona)</t>
  </si>
  <si>
    <t>Conserje (zona)</t>
  </si>
  <si>
    <t>Secretaria (zona)</t>
  </si>
  <si>
    <t>Técnico en Enfermería (zona)</t>
  </si>
  <si>
    <t>Señaleros (zona)</t>
  </si>
  <si>
    <t>Guardianes 7x 3 Turnos (zona)</t>
  </si>
  <si>
    <t>Auxiliares de Costos - Tareadores</t>
  </si>
  <si>
    <t>Ayudante de Laboratorio (zona)</t>
  </si>
  <si>
    <t>Ayudante de Topografía (zona)</t>
  </si>
  <si>
    <t>Ayudante de Nivelación (zona)</t>
  </si>
  <si>
    <t>Ing. Asistente de Producción</t>
  </si>
  <si>
    <t>Ing. Responsable de Topografía</t>
  </si>
  <si>
    <t>Ing. Responsable de Contratos</t>
  </si>
  <si>
    <t>Ing. Responsable de Control de Calidad</t>
  </si>
  <si>
    <t>Cama Baja 35 Ton.(*)</t>
  </si>
  <si>
    <t>Camioneta Custer 24 psj. (*)</t>
  </si>
  <si>
    <t>Camión Baranda 2 Ton.(*)</t>
  </si>
  <si>
    <t>Nivel de Ingeniero (incl. Miras)</t>
  </si>
  <si>
    <t>Estación Total (incl. 2 Portaprismas)</t>
  </si>
  <si>
    <t>Equipos de Laboratorio Suelos</t>
  </si>
  <si>
    <t>Equipos de Laboratorio Concreto</t>
  </si>
  <si>
    <t>Equipos de Laboratorio Asfalto</t>
  </si>
  <si>
    <t>PC (Incl. Software)</t>
  </si>
  <si>
    <t>Impresora Láser A4</t>
  </si>
  <si>
    <t>Impresora Tinta A3</t>
  </si>
  <si>
    <t>B.- EVALUACION DE RUGOSIDAD</t>
  </si>
  <si>
    <t>A.- EVALUACION DEFLECTOMETRICA</t>
  </si>
  <si>
    <t>Equipos de Radio Comunicación (2 Bases + 12 Móviles)</t>
  </si>
  <si>
    <t>VEHICULOS</t>
  </si>
  <si>
    <t>Equipo Taller</t>
  </si>
  <si>
    <t>Equipo Menor y Herramientas</t>
  </si>
  <si>
    <t xml:space="preserve"> TOTAL COSTO DE VEHICULOS</t>
  </si>
  <si>
    <t xml:space="preserve"> TOTAL COSTO DE EQUIPOS NO INCLUIDOS</t>
  </si>
  <si>
    <t>(*) El costo incluye combustible</t>
  </si>
  <si>
    <t>(*) Los costos incluyen operador y combustible</t>
  </si>
  <si>
    <t>Grupo Electrógeno 100kw (*)</t>
  </si>
  <si>
    <t>A.- PERSONAL PROFESIONALES  Y ADMINISTRATIVOS (SALIDAS CADA 45 DIAS VIA AEREA)</t>
  </si>
  <si>
    <t>B.- PERSONAL TECNICO, ADMINISTRATIVO Y AUXILIAR (SALIDAS CADA 45 DIAS VIA TERRESTRE)</t>
  </si>
  <si>
    <t>Operadores de Máquinas</t>
  </si>
  <si>
    <t>Choferes Vehiculos Gastos Generales</t>
  </si>
  <si>
    <t>COSTO DIA (*)</t>
  </si>
  <si>
    <t>(*) El Costo incluye alimentación y bebidas</t>
  </si>
  <si>
    <t>Hospedajes</t>
  </si>
  <si>
    <t>Comunicaciones (Telefonía e Internet)</t>
  </si>
  <si>
    <t xml:space="preserve"> TOTAL COSTO MATERIALES DE OFICINA DE OBRA</t>
  </si>
  <si>
    <t xml:space="preserve"> TOTAL COSTO DE SERVICIOS Y GASTOS DE OFICINA DE OBRA</t>
  </si>
  <si>
    <t>Asesoría Técnica</t>
  </si>
  <si>
    <t>Materiales Fungibles Topografía</t>
  </si>
  <si>
    <t>Materiales Fungibles Laboratorio</t>
  </si>
  <si>
    <t>Est.</t>
  </si>
  <si>
    <t>Materiales de Seguridad en Instalaciones</t>
  </si>
  <si>
    <t>Artículos de Higiene Personal</t>
  </si>
  <si>
    <t>Artículos de Lavandería</t>
  </si>
  <si>
    <t>MATERIALES Y GASTOS VARIOS</t>
  </si>
  <si>
    <t>SERVICIOS VARIOS</t>
  </si>
  <si>
    <t>Mensajería - Encomiendas</t>
  </si>
  <si>
    <t>Movilización Coordinación Lima (Incl. Peajes y Estacionam.)</t>
  </si>
  <si>
    <t xml:space="preserve"> TOTAL COSTOS AMBIENTALES</t>
  </si>
  <si>
    <t>Antena Parabólica</t>
  </si>
  <si>
    <t>3.15</t>
  </si>
  <si>
    <t>3.16</t>
  </si>
  <si>
    <t>Camioneta Rural 4x4 - 12 psj. c/radio transmisor (*)</t>
  </si>
  <si>
    <t>Implementos de Seguridad Operadores  (Incl. Uniforme)</t>
  </si>
  <si>
    <t>Implementos de Seguridad Obreros  (Incl. Uniforme)</t>
  </si>
  <si>
    <t>Implementos de Seguridad Profesionales</t>
  </si>
  <si>
    <t>Implementos de Seguridad Técnicos  (Incl. Uniforme)</t>
  </si>
  <si>
    <t>und.</t>
  </si>
  <si>
    <t>5.03</t>
  </si>
  <si>
    <t>5.04</t>
  </si>
  <si>
    <t>Ensayos Especiales de Control de Calidad</t>
  </si>
  <si>
    <t>Transporte Terrestre - Personal Técnico</t>
  </si>
  <si>
    <t>Transporte Aereo - Personal Profesional</t>
  </si>
  <si>
    <t>Transporte Terrestre - Personal Auxiliar</t>
  </si>
  <si>
    <t>4.04</t>
  </si>
  <si>
    <t>Personal Ayudante (zona)</t>
  </si>
  <si>
    <t>Jefe de Oficina Ingeniería (Planeamiento y Costos)</t>
  </si>
  <si>
    <t>Gastos Bancarios (ITF 2 Movimientos)</t>
  </si>
  <si>
    <t>1.09</t>
  </si>
  <si>
    <t>2.05</t>
  </si>
  <si>
    <t>2.06</t>
  </si>
  <si>
    <t>2.07</t>
  </si>
  <si>
    <t>2.08</t>
  </si>
  <si>
    <t>2.09</t>
  </si>
  <si>
    <t>2.10</t>
  </si>
  <si>
    <t>2.11</t>
  </si>
  <si>
    <t>4.05</t>
  </si>
  <si>
    <t>4.06</t>
  </si>
  <si>
    <t>4.07</t>
  </si>
  <si>
    <t>4.08</t>
  </si>
  <si>
    <t>4.09</t>
  </si>
  <si>
    <t>4.10</t>
  </si>
  <si>
    <t>4.11</t>
  </si>
  <si>
    <t>4.12</t>
  </si>
  <si>
    <t>1.25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</si>
  <si>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</si>
  <si>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</si>
  <si>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</si>
  <si>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</si>
  <si>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</si>
  <si>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</si>
  <si>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</si>
  <si>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</si>
  <si>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</si>
  <si>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6.04</t>
  </si>
  <si>
    <t>6.05</t>
  </si>
  <si>
    <t>8.02</t>
  </si>
  <si>
    <t>8.03</t>
  </si>
  <si>
    <t>8.04</t>
  </si>
  <si>
    <t>8.05</t>
  </si>
  <si>
    <t>11.00</t>
  </si>
  <si>
    <t>11.01</t>
  </si>
  <si>
    <t>11.02</t>
  </si>
  <si>
    <t>11.03</t>
  </si>
  <si>
    <t>11.04</t>
  </si>
  <si>
    <t>6.06</t>
  </si>
  <si>
    <t>6.07</t>
  </si>
  <si>
    <t>6.08</t>
  </si>
  <si>
    <t>9.05</t>
  </si>
  <si>
    <t>9.06</t>
  </si>
  <si>
    <t>12.00</t>
  </si>
  <si>
    <t>12.01</t>
  </si>
  <si>
    <t>12.02</t>
  </si>
  <si>
    <t>12.03</t>
  </si>
  <si>
    <t>12.04</t>
  </si>
  <si>
    <t>12.05</t>
  </si>
  <si>
    <t>12.06</t>
  </si>
  <si>
    <t>12.07</t>
  </si>
  <si>
    <t>C.- PERSONAL ASISTENTE Y AUXILIAR (ZONA)</t>
  </si>
  <si>
    <t>8.08</t>
  </si>
  <si>
    <t>Permisos y Licencias</t>
  </si>
  <si>
    <t>Coordinador de Obra</t>
  </si>
  <si>
    <t>Asesoría Técnica -Legal</t>
  </si>
  <si>
    <t>Contador - Administración</t>
  </si>
  <si>
    <t>Auxiliar Administrativo</t>
  </si>
  <si>
    <t>10.05</t>
  </si>
  <si>
    <t>10.06</t>
  </si>
  <si>
    <t>10.07</t>
  </si>
  <si>
    <t xml:space="preserve">Alquiler de Oficina </t>
  </si>
  <si>
    <t>Mantenimiento de Oficina principal</t>
  </si>
  <si>
    <t>Teléfono - Fax</t>
  </si>
  <si>
    <t>Copias Fotostáticas</t>
  </si>
  <si>
    <t>Utiles y Materiales fungibles</t>
  </si>
  <si>
    <t>10.08</t>
  </si>
  <si>
    <t>10.09</t>
  </si>
  <si>
    <t>10.10</t>
  </si>
  <si>
    <t>10.11</t>
  </si>
  <si>
    <t>10.12</t>
  </si>
  <si>
    <t>CAMPAMENTO Y PATIO DE MAQUINAS</t>
  </si>
  <si>
    <t>Talleres (Incluye Drenaje Industrial)</t>
  </si>
  <si>
    <t>Construccion Sistema de Tratamiento de Aguas Residuales</t>
  </si>
  <si>
    <t>8.09</t>
  </si>
  <si>
    <t>Uso de Espacio de Terrenos</t>
  </si>
  <si>
    <t>8.10</t>
  </si>
  <si>
    <t>Acondicionamiento de Patio de Maquinas y Plantas de Proc.</t>
  </si>
  <si>
    <t>Prog. de Prevencion de Perdidas y Respuesta a Emergencias</t>
  </si>
  <si>
    <t>Programa de Asuntos Sociales</t>
  </si>
  <si>
    <t>Camioneta Pick Up Doble Cabina (Para Prog. Contingencias)</t>
  </si>
  <si>
    <t>Costo Directo</t>
  </si>
  <si>
    <t>Gastos Generales</t>
  </si>
  <si>
    <t>Utilidad</t>
  </si>
  <si>
    <t>Sub-Total</t>
  </si>
  <si>
    <t>I.G.V</t>
  </si>
  <si>
    <t>Total</t>
  </si>
  <si>
    <t>Asistente de Impacto Ambiental: Medio Fisico Biologico</t>
  </si>
  <si>
    <t>Asistente de Impacto Ambiental: Asuntos Sociales</t>
  </si>
  <si>
    <t>1.49</t>
  </si>
  <si>
    <t>1.50</t>
  </si>
  <si>
    <t>D.- SEGUROS CONTRA TODO RIESGO (CAR)</t>
  </si>
  <si>
    <t xml:space="preserve">PROYECTO   </t>
  </si>
  <si>
    <t>ESTUDIO DEFINITIVO PARA LA CONSTRUCCIÓN Y MEJORAMIENTÒ</t>
  </si>
  <si>
    <t>DE LA CARRETERA CUSCO - QUILLABAMBA</t>
  </si>
  <si>
    <t>TRAMO</t>
  </si>
  <si>
    <t>ALFAMAYO - CHAULLAY - QUILLABAMBA</t>
  </si>
  <si>
    <t xml:space="preserve">CONSULTOR </t>
  </si>
  <si>
    <t>CONSORCIO QUILLABAMBA</t>
  </si>
  <si>
    <t>Programa de Mitigacion, Prevencion y Corrección</t>
  </si>
  <si>
    <t>Transporte de Equipos, Movilidad para profesionales, estadia y viaticos</t>
  </si>
  <si>
    <t>Impresora-Plotter A1</t>
  </si>
  <si>
    <t>ANÁLISIS DE GASTOS GENERALES  - GASTOS GENERALES FIJOS</t>
  </si>
  <si>
    <t>ANÁLISIS DE GASTOS GENERALES - GASTOS GENERALES VARIABLES</t>
  </si>
</sst>
</file>

<file path=xl/styles.xml><?xml version="1.0" encoding="utf-8"?>
<styleSheet xmlns="http://schemas.openxmlformats.org/spreadsheetml/2006/main">
  <numFmts count="36">
    <numFmt numFmtId="5" formatCode="&quot; &quot;#,##0;&quot; &quot;\-#,##0"/>
    <numFmt numFmtId="6" formatCode="&quot; &quot;#,##0;[Red]&quot; &quot;\-#,##0"/>
    <numFmt numFmtId="7" formatCode="&quot; &quot;#,##0.00;&quot; &quot;\-#,##0.00"/>
    <numFmt numFmtId="8" formatCode="&quot; &quot;#,##0.00;[Red]&quot; &quot;\-#,##0.00"/>
    <numFmt numFmtId="42" formatCode="_ &quot; &quot;* #,##0_ ;_ &quot; &quot;* \-#,##0_ ;_ &quot; &quot;* &quot;-&quot;_ ;_ @_ "/>
    <numFmt numFmtId="41" formatCode="_ * #,##0_ ;_ * \-#,##0_ ;_ * &quot;-&quot;_ ;_ @_ "/>
    <numFmt numFmtId="44" formatCode="_ &quot; &quot;* #,##0.00_ ;_ &quot; &quot;* \-#,##0.00_ ;_ &quot; &quot;* &quot;-&quot;??_ ;_ @_ "/>
    <numFmt numFmtId="43" formatCode="_ * #,##0.00_ ;_ * \-#,##0.00_ ;_ * &quot;-&quot;??_ ;_ @_ "/>
    <numFmt numFmtId="164" formatCode="&quot; &quot;\ #,##0_);\(&quot; &quot;\ #,##0\)"/>
    <numFmt numFmtId="165" formatCode="&quot; &quot;\ #,##0_);[Red]\(&quot; &quot;\ #,##0\)"/>
    <numFmt numFmtId="166" formatCode="&quot; &quot;\ #,##0.00_);\(&quot; &quot;\ #,##0.00\)"/>
    <numFmt numFmtId="167" formatCode="&quot; &quot;\ #,##0.00_);[Red]\(&quot; &quot;\ #,##0.00\)"/>
    <numFmt numFmtId="168" formatCode="_(&quot; &quot;\ * #,##0_);_(&quot; &quot;\ * \(#,##0\);_(&quot; &quot;\ * &quot;-&quot;_);_(@_)"/>
    <numFmt numFmtId="169" formatCode="_(* #,##0_);_(* \(#,##0\);_(* &quot;-&quot;_);_(@_)"/>
    <numFmt numFmtId="170" formatCode="_(&quot; &quot;\ * #,##0.00_);_(&quot; &quot;\ * \(#,##0.00\);_(&quot; &quot;\ * &quot;-&quot;??_);_(@_)"/>
    <numFmt numFmtId="171" formatCode="_(* #,##0.00_);_(* \(#,##0.00\);_(* &quot;-&quot;??_);_(@_)"/>
    <numFmt numFmtId="172" formatCode="&quot;S&quot;\ #,##0_);\(&quot;S&quot;\ #,##0\)"/>
    <numFmt numFmtId="173" formatCode="&quot;S&quot;\ #,##0_);[Red]\(&quot;S&quot;\ #,##0\)"/>
    <numFmt numFmtId="174" formatCode="&quot;S&quot;\ #,##0.00_);\(&quot;S&quot;\ #,##0.00\)"/>
    <numFmt numFmtId="175" formatCode="&quot;S&quot;\ #,##0.00_);[Red]\(&quot;S&quot;\ #,##0.00\)"/>
    <numFmt numFmtId="176" formatCode="_(&quot;S&quot;\ * #,##0_);_(&quot;S&quot;\ * \(#,##0\);_(&quot;S&quot;\ * &quot;-&quot;_);_(@_)"/>
    <numFmt numFmtId="177" formatCode="_(&quot;S&quot;\ * #,##0.00_);_(&quot;S&quot;\ * \(#,##0.00\);_(&quot;S&quot;\ * &quot;-&quot;??_);_(@_)"/>
    <numFmt numFmtId="178" formatCode="_(&quot;N$&quot;* #,##0_);_(&quot;N$&quot;* \(#,##0\);_(&quot;N$&quot;* &quot;-&quot;_);_(@_)"/>
    <numFmt numFmtId="179" formatCode="_(&quot;N$&quot;* #,##0.00_);_(&quot;N$&quot;* \(#,##0.00\);_(&quot;N$&quot;* &quot;-&quot;??_);_(@_)"/>
    <numFmt numFmtId="180" formatCode="0.0%"/>
    <numFmt numFmtId="181" formatCode="_(* #,##0.0000_);_(* \(#,##0.0000\);_(* &quot;-&quot;??_);_(@_)"/>
    <numFmt numFmtId="182" formatCode="_(* #,##0.000000_);_(* \(#,##0.000000\);_(* &quot;-&quot;??_);_(@_)"/>
    <numFmt numFmtId="183" formatCode="_(* #,##0.00_);_(* \(#,##0.00\);_(* &quot;-&quot;_);_(@_)"/>
    <numFmt numFmtId="184" formatCode="0.000%"/>
    <numFmt numFmtId="185" formatCode="#,##0.00;[Red]#,##0.00"/>
    <numFmt numFmtId="186" formatCode="_(* #,##0.0_);_(* \(#,##0.0\);_(* &quot;-&quot;??_);_(@_)"/>
    <numFmt numFmtId="187" formatCode="0.00000000%"/>
    <numFmt numFmtId="188" formatCode="_(* #,##0.000_);_(* \(#,##0.000\);_(* &quot;-&quot;??_);_(@_)"/>
    <numFmt numFmtId="189" formatCode="mmmm\-yy"/>
    <numFmt numFmtId="190" formatCode="#,##0.00000000000"/>
    <numFmt numFmtId="191" formatCode="_(* #,##0.0000_);_(* \(#,##0.0000\);_(* &quot;-&quot;??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9"/>
      <color indexed="10"/>
      <name val="Geneva"/>
      <family val="0"/>
    </font>
    <font>
      <sz val="11"/>
      <color indexed="24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sz val="11"/>
      <color indexed="19"/>
      <name val="Arial Narrow"/>
      <family val="2"/>
    </font>
    <font>
      <sz val="11"/>
      <color indexed="9"/>
      <name val="Arial Narrow"/>
      <family val="2"/>
    </font>
    <font>
      <u val="single"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3"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39" fontId="10" fillId="0" borderId="0" xfId="0" applyNumberFormat="1" applyFont="1" applyBorder="1" applyAlignment="1" applyProtection="1">
      <alignment horizontal="right" vertical="center" indent="1"/>
      <protection/>
    </xf>
    <xf numFmtId="39" fontId="10" fillId="0" borderId="0" xfId="0" applyNumberFormat="1" applyFont="1" applyBorder="1" applyAlignment="1" applyProtection="1">
      <alignment vertical="center"/>
      <protection/>
    </xf>
    <xf numFmtId="39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182" fontId="11" fillId="0" borderId="0" xfId="17" applyNumberFormat="1" applyFont="1" applyBorder="1" applyAlignment="1">
      <alignment horizontal="center"/>
    </xf>
    <xf numFmtId="171" fontId="11" fillId="0" borderId="0" xfId="17" applyFont="1" applyBorder="1" applyAlignment="1">
      <alignment/>
    </xf>
    <xf numFmtId="0" fontId="9" fillId="0" borderId="0" xfId="0" applyFont="1" applyFill="1" applyBorder="1" applyAlignment="1">
      <alignment/>
    </xf>
    <xf numFmtId="171" fontId="10" fillId="0" borderId="0" xfId="17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82" fontId="11" fillId="0" borderId="0" xfId="17" applyNumberFormat="1" applyFont="1" applyFill="1" applyBorder="1" applyAlignment="1">
      <alignment horizontal="center"/>
    </xf>
    <xf numFmtId="171" fontId="11" fillId="0" borderId="0" xfId="17" applyFont="1" applyFill="1" applyBorder="1" applyAlignment="1">
      <alignment/>
    </xf>
    <xf numFmtId="49" fontId="11" fillId="0" borderId="0" xfId="17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171" fontId="11" fillId="0" borderId="0" xfId="17" applyNumberFormat="1" applyFont="1" applyFill="1" applyBorder="1" applyAlignment="1">
      <alignment horizontal="center"/>
    </xf>
    <xf numFmtId="171" fontId="10" fillId="0" borderId="0" xfId="17" applyFont="1" applyFill="1" applyBorder="1" applyAlignment="1">
      <alignment horizontal="center"/>
    </xf>
    <xf numFmtId="49" fontId="11" fillId="0" borderId="0" xfId="17" applyNumberFormat="1" applyFont="1" applyFill="1" applyBorder="1" applyAlignment="1">
      <alignment horizontal="center"/>
    </xf>
    <xf numFmtId="171" fontId="11" fillId="0" borderId="0" xfId="17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right" indent="1"/>
    </xf>
    <xf numFmtId="0" fontId="16" fillId="0" borderId="0" xfId="0" applyFont="1" applyFill="1" applyBorder="1" applyAlignment="1">
      <alignment/>
    </xf>
    <xf numFmtId="184" fontId="11" fillId="0" borderId="0" xfId="0" applyNumberFormat="1" applyFont="1" applyFill="1" applyBorder="1" applyAlignment="1">
      <alignment horizontal="center"/>
    </xf>
    <xf numFmtId="10" fontId="11" fillId="0" borderId="0" xfId="0" applyNumberFormat="1" applyFont="1" applyFill="1" applyBorder="1" applyAlignment="1">
      <alignment horizontal="center"/>
    </xf>
    <xf numFmtId="10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 indent="1"/>
    </xf>
    <xf numFmtId="1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left"/>
    </xf>
    <xf numFmtId="0" fontId="11" fillId="0" borderId="0" xfId="21" applyFont="1" applyBorder="1">
      <alignment/>
      <protection/>
    </xf>
    <xf numFmtId="0" fontId="10" fillId="2" borderId="0" xfId="0" applyFont="1" applyFill="1" applyBorder="1" applyAlignment="1">
      <alignment/>
    </xf>
    <xf numFmtId="39" fontId="11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 applyProtection="1">
      <alignment horizontal="center"/>
      <protection/>
    </xf>
    <xf numFmtId="39" fontId="11" fillId="0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2" fontId="11" fillId="0" borderId="0" xfId="0" applyNumberFormat="1" applyFont="1" applyFill="1" applyBorder="1" applyAlignment="1" applyProtection="1">
      <alignment horizontal="centerContinuous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/>
      <protection/>
    </xf>
    <xf numFmtId="10" fontId="11" fillId="0" borderId="0" xfId="22" applyNumberFormat="1" applyFont="1" applyFill="1" applyBorder="1" applyAlignment="1" applyProtection="1">
      <alignment/>
      <protection/>
    </xf>
    <xf numFmtId="4" fontId="11" fillId="0" borderId="0" xfId="0" applyNumberFormat="1" applyFont="1" applyFill="1" applyBorder="1" applyAlignment="1">
      <alignment/>
    </xf>
    <xf numFmtId="169" fontId="11" fillId="0" borderId="0" xfId="18" applyFont="1" applyFill="1" applyBorder="1" applyAlignment="1" applyProtection="1">
      <alignment/>
      <protection/>
    </xf>
    <xf numFmtId="183" fontId="11" fillId="0" borderId="0" xfId="18" applyNumberFormat="1" applyFont="1" applyFill="1" applyBorder="1" applyAlignment="1">
      <alignment/>
    </xf>
    <xf numFmtId="39" fontId="10" fillId="0" borderId="0" xfId="0" applyNumberFormat="1" applyFont="1" applyFill="1" applyBorder="1" applyAlignment="1" applyProtection="1">
      <alignment/>
      <protection/>
    </xf>
    <xf numFmtId="171" fontId="11" fillId="0" borderId="0" xfId="17" applyFont="1" applyFill="1" applyBorder="1" applyAlignment="1" applyProtection="1">
      <alignment/>
      <protection/>
    </xf>
    <xf numFmtId="10" fontId="11" fillId="0" borderId="0" xfId="0" applyNumberFormat="1" applyFont="1" applyFill="1" applyBorder="1" applyAlignment="1" applyProtection="1">
      <alignment/>
      <protection/>
    </xf>
    <xf numFmtId="2" fontId="11" fillId="0" borderId="0" xfId="0" applyNumberFormat="1" applyFont="1" applyFill="1" applyBorder="1" applyAlignment="1">
      <alignment/>
    </xf>
    <xf numFmtId="2" fontId="11" fillId="0" borderId="0" xfId="22" applyNumberFormat="1" applyFont="1" applyFill="1" applyBorder="1" applyAlignment="1" applyProtection="1">
      <alignment/>
      <protection/>
    </xf>
    <xf numFmtId="184" fontId="11" fillId="0" borderId="0" xfId="22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 indent="1"/>
    </xf>
    <xf numFmtId="39" fontId="10" fillId="0" borderId="0" xfId="0" applyNumberFormat="1" applyFont="1" applyFill="1" applyBorder="1" applyAlignment="1" applyProtection="1">
      <alignment vertical="center"/>
      <protection/>
    </xf>
    <xf numFmtId="39" fontId="11" fillId="0" borderId="0" xfId="0" applyNumberFormat="1" applyFont="1" applyFill="1" applyBorder="1" applyAlignment="1" applyProtection="1">
      <alignment vertical="center"/>
      <protection/>
    </xf>
    <xf numFmtId="9" fontId="11" fillId="0" borderId="0" xfId="22" applyFont="1" applyFill="1" applyBorder="1" applyAlignment="1">
      <alignment/>
    </xf>
    <xf numFmtId="10" fontId="11" fillId="0" borderId="0" xfId="22" applyNumberFormat="1" applyFont="1" applyFill="1" applyBorder="1" applyAlignment="1">
      <alignment/>
    </xf>
    <xf numFmtId="171" fontId="11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2" fontId="11" fillId="0" borderId="0" xfId="0" applyNumberFormat="1" applyFont="1" applyBorder="1" applyAlignment="1" applyProtection="1">
      <alignment horizontal="centerContinuous"/>
      <protection/>
    </xf>
    <xf numFmtId="0" fontId="13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39" fontId="10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vertical="center"/>
    </xf>
    <xf numFmtId="39" fontId="11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 horizontal="right"/>
    </xf>
    <xf numFmtId="2" fontId="10" fillId="0" borderId="0" xfId="0" applyNumberFormat="1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39" fontId="10" fillId="0" borderId="0" xfId="0" applyNumberFormat="1" applyFont="1" applyBorder="1" applyAlignment="1" applyProtection="1">
      <alignment horizontal="centerContinuous"/>
      <protection/>
    </xf>
    <xf numFmtId="39" fontId="10" fillId="0" borderId="0" xfId="0" applyNumberFormat="1" applyFont="1" applyBorder="1" applyAlignment="1" applyProtection="1">
      <alignment horizontal="right" indent="1"/>
      <protection/>
    </xf>
    <xf numFmtId="39" fontId="10" fillId="0" borderId="0" xfId="0" applyNumberFormat="1" applyFont="1" applyBorder="1" applyAlignment="1" applyProtection="1">
      <alignment/>
      <protection/>
    </xf>
    <xf numFmtId="39" fontId="11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71" fontId="10" fillId="0" borderId="0" xfId="17" applyFont="1" applyBorder="1" applyAlignment="1">
      <alignment/>
    </xf>
    <xf numFmtId="0" fontId="10" fillId="0" borderId="0" xfId="0" applyFont="1" applyBorder="1" applyAlignment="1">
      <alignment horizontal="centerContinuous" vertical="center"/>
    </xf>
    <xf numFmtId="49" fontId="10" fillId="0" borderId="0" xfId="0" applyNumberFormat="1" applyFont="1" applyBorder="1" applyAlignment="1">
      <alignment horizontal="center"/>
    </xf>
    <xf numFmtId="49" fontId="11" fillId="0" borderId="0" xfId="17" applyNumberFormat="1" applyFont="1" applyBorder="1" applyAlignment="1">
      <alignment horizontal="center"/>
    </xf>
    <xf numFmtId="171" fontId="11" fillId="0" borderId="0" xfId="17" applyNumberFormat="1" applyFont="1" applyBorder="1" applyAlignment="1">
      <alignment/>
    </xf>
    <xf numFmtId="171" fontId="11" fillId="0" borderId="0" xfId="17" applyNumberFormat="1" applyFont="1" applyFill="1" applyBorder="1" applyAlignment="1">
      <alignment/>
    </xf>
    <xf numFmtId="180" fontId="11" fillId="0" borderId="0" xfId="22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171" fontId="15" fillId="0" borderId="0" xfId="17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171" fontId="11" fillId="0" borderId="0" xfId="17" applyNumberFormat="1" applyFont="1" applyFill="1" applyBorder="1" applyAlignment="1">
      <alignment horizontal="center" vertical="center"/>
    </xf>
    <xf numFmtId="171" fontId="11" fillId="0" borderId="0" xfId="17" applyFont="1" applyFill="1" applyBorder="1" applyAlignment="1">
      <alignment vertical="center"/>
    </xf>
    <xf numFmtId="49" fontId="11" fillId="0" borderId="0" xfId="17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1" fontId="11" fillId="0" borderId="0" xfId="17" applyNumberFormat="1" applyFont="1" applyFill="1" applyBorder="1" applyAlignment="1">
      <alignment horizontal="center" vertical="center" wrapText="1"/>
    </xf>
    <xf numFmtId="171" fontId="11" fillId="0" borderId="0" xfId="17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71" fontId="11" fillId="0" borderId="0" xfId="22" applyNumberFormat="1" applyFont="1" applyFill="1" applyBorder="1" applyAlignment="1">
      <alignment/>
    </xf>
    <xf numFmtId="171" fontId="10" fillId="0" borderId="0" xfId="17" applyNumberFormat="1" applyFont="1" applyBorder="1" applyAlignment="1">
      <alignment horizontal="center" vertical="center"/>
    </xf>
    <xf numFmtId="171" fontId="10" fillId="0" borderId="0" xfId="17" applyFont="1" applyBorder="1" applyAlignment="1">
      <alignment vertical="center"/>
    </xf>
    <xf numFmtId="49" fontId="11" fillId="0" borderId="0" xfId="0" applyNumberFormat="1" applyFont="1" applyFill="1" applyBorder="1" applyAlignment="1">
      <alignment horizontal="center"/>
    </xf>
    <xf numFmtId="186" fontId="11" fillId="0" borderId="0" xfId="17" applyNumberFormat="1" applyFont="1" applyFill="1" applyBorder="1" applyAlignment="1">
      <alignment horizontal="center"/>
    </xf>
    <xf numFmtId="181" fontId="11" fillId="0" borderId="0" xfId="17" applyNumberFormat="1" applyFont="1" applyBorder="1" applyAlignment="1">
      <alignment horizontal="center"/>
    </xf>
    <xf numFmtId="186" fontId="11" fillId="0" borderId="0" xfId="0" applyNumberFormat="1" applyFont="1" applyBorder="1" applyAlignment="1">
      <alignment vertical="center"/>
    </xf>
    <xf numFmtId="171" fontId="10" fillId="0" borderId="0" xfId="17" applyFont="1" applyBorder="1" applyAlignment="1">
      <alignment horizontal="right" vertical="center"/>
    </xf>
    <xf numFmtId="4" fontId="11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89" fontId="12" fillId="0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187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190" fontId="11" fillId="0" borderId="0" xfId="0" applyNumberFormat="1" applyFont="1" applyBorder="1" applyAlignment="1">
      <alignment/>
    </xf>
    <xf numFmtId="10" fontId="11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39" fontId="11" fillId="0" borderId="0" xfId="0" applyNumberFormat="1" applyFont="1" applyFill="1" applyBorder="1" applyAlignment="1" applyProtection="1">
      <alignment horizontal="right"/>
      <protection locked="0"/>
    </xf>
    <xf numFmtId="188" fontId="11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horizontal="centerContinuous"/>
      <protection/>
    </xf>
    <xf numFmtId="2" fontId="10" fillId="0" borderId="0" xfId="0" applyNumberFormat="1" applyFont="1" applyFill="1" applyBorder="1" applyAlignment="1" applyProtection="1">
      <alignment horizontal="centerContinuous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185" fontId="10" fillId="0" borderId="0" xfId="17" applyNumberFormat="1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171" fontId="10" fillId="0" borderId="0" xfId="17" applyFont="1" applyBorder="1" applyAlignment="1">
      <alignment horizontal="center"/>
    </xf>
    <xf numFmtId="2" fontId="10" fillId="0" borderId="0" xfId="0" applyNumberFormat="1" applyFont="1" applyBorder="1" applyAlignment="1" applyProtection="1">
      <alignment horizontal="center"/>
      <protection/>
    </xf>
    <xf numFmtId="39" fontId="11" fillId="0" borderId="0" xfId="0" applyNumberFormat="1" applyFont="1" applyBorder="1" applyAlignment="1" applyProtection="1">
      <alignment horizontal="right" vertical="center" indent="1"/>
      <protection/>
    </xf>
    <xf numFmtId="39" fontId="10" fillId="0" borderId="0" xfId="0" applyNumberFormat="1" applyFont="1" applyBorder="1" applyAlignment="1" applyProtection="1">
      <alignment horizontal="right" vertical="center" indent="1"/>
      <protection/>
    </xf>
    <xf numFmtId="39" fontId="11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9.01 movimiento de tierra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O%20AMBIENTAL%2011-08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yacucho"/>
      <sheetName val="Hoja2"/>
      <sheetName val="Quillabamba"/>
      <sheetName val="Andahuaylas"/>
    </sheetNames>
    <sheetDataSet>
      <sheetData sheetId="2">
        <row r="7">
          <cell r="H7">
            <v>244270</v>
          </cell>
        </row>
        <row r="38">
          <cell r="H38">
            <v>16446</v>
          </cell>
        </row>
        <row r="39">
          <cell r="H39">
            <v>30000</v>
          </cell>
        </row>
        <row r="43">
          <cell r="H43">
            <v>76040</v>
          </cell>
        </row>
        <row r="54">
          <cell r="H54">
            <v>20400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4"/>
  <sheetViews>
    <sheetView view="pageBreakPreview" zoomScaleSheetLayoutView="100" workbookViewId="0" topLeftCell="A1">
      <selection activeCell="A9" sqref="A9:G9"/>
    </sheetView>
  </sheetViews>
  <sheetFormatPr defaultColWidth="11.421875" defaultRowHeight="12.75"/>
  <cols>
    <col min="1" max="1" width="5.7109375" style="10" customWidth="1"/>
    <col min="2" max="2" width="6.57421875" style="10" customWidth="1"/>
    <col min="3" max="3" width="9.8515625" style="10" customWidth="1"/>
    <col min="4" max="4" width="10.7109375" style="10" customWidth="1"/>
    <col min="5" max="5" width="43.140625" style="10" customWidth="1"/>
    <col min="6" max="6" width="24.7109375" style="10" customWidth="1"/>
    <col min="7" max="7" width="16.7109375" style="10" customWidth="1"/>
    <col min="8" max="8" width="18.00390625" style="10" customWidth="1"/>
    <col min="9" max="9" width="18.7109375" style="10" bestFit="1" customWidth="1"/>
    <col min="10" max="16384" width="11.421875" style="10" customWidth="1"/>
  </cols>
  <sheetData>
    <row r="1" spans="1:28" s="6" customFormat="1" ht="16.5">
      <c r="A1" s="33" t="s">
        <v>491</v>
      </c>
      <c r="B1" s="48"/>
      <c r="C1" s="48"/>
      <c r="D1" s="5" t="s">
        <v>492</v>
      </c>
      <c r="J1" s="7"/>
      <c r="O1" s="8"/>
      <c r="AB1" s="7"/>
    </row>
    <row r="2" spans="1:28" s="6" customFormat="1" ht="16.5">
      <c r="A2" s="33"/>
      <c r="B2" s="48"/>
      <c r="C2" s="48"/>
      <c r="D2" s="5" t="s">
        <v>493</v>
      </c>
      <c r="J2" s="7"/>
      <c r="O2" s="8"/>
      <c r="AB2" s="7"/>
    </row>
    <row r="3" spans="1:28" s="6" customFormat="1" ht="16.5">
      <c r="A3" s="5" t="s">
        <v>494</v>
      </c>
      <c r="B3" s="34"/>
      <c r="C3" s="34"/>
      <c r="D3" s="5" t="s">
        <v>495</v>
      </c>
      <c r="J3" s="7"/>
      <c r="O3" s="8"/>
      <c r="AB3" s="7"/>
    </row>
    <row r="4" spans="1:28" s="6" customFormat="1" ht="16.5">
      <c r="A4" s="33" t="s">
        <v>496</v>
      </c>
      <c r="B4" s="34"/>
      <c r="C4" s="34"/>
      <c r="D4" s="5" t="s">
        <v>497</v>
      </c>
      <c r="J4" s="7"/>
      <c r="O4" s="8"/>
      <c r="AB4" s="7"/>
    </row>
    <row r="5" spans="7:28" s="6" customFormat="1" ht="16.5">
      <c r="G5" s="9"/>
      <c r="K5" s="7"/>
      <c r="L5" s="7"/>
      <c r="AA5" s="7"/>
      <c r="AB5" s="7"/>
    </row>
    <row r="6" spans="7:28" s="6" customFormat="1" ht="16.5">
      <c r="G6" s="9"/>
      <c r="I6" s="10"/>
      <c r="K6" s="7"/>
      <c r="L6" s="7"/>
      <c r="AA6" s="7"/>
      <c r="AB6" s="7"/>
    </row>
    <row r="7" s="6" customFormat="1" ht="16.5">
      <c r="O7" s="8"/>
    </row>
    <row r="8" spans="7:15" s="6" customFormat="1" ht="25.5" customHeight="1">
      <c r="G8" s="8"/>
      <c r="H8" s="8"/>
      <c r="I8" s="8"/>
      <c r="J8" s="8"/>
      <c r="K8" s="8"/>
      <c r="L8" s="8"/>
      <c r="M8" s="8"/>
      <c r="N8" s="8"/>
      <c r="O8" s="8"/>
    </row>
    <row r="9" spans="1:15" s="80" customFormat="1" ht="24" customHeight="1">
      <c r="A9" s="149" t="s">
        <v>270</v>
      </c>
      <c r="B9" s="149"/>
      <c r="C9" s="149"/>
      <c r="D9" s="149"/>
      <c r="E9" s="149"/>
      <c r="F9" s="149"/>
      <c r="G9" s="149"/>
      <c r="H9" s="77"/>
      <c r="I9" s="77"/>
      <c r="J9" s="77"/>
      <c r="K9" s="78"/>
      <c r="L9" s="78"/>
      <c r="M9" s="78"/>
      <c r="N9" s="79"/>
      <c r="O9" s="79"/>
    </row>
    <row r="10" spans="7:15" s="6" customFormat="1" ht="7.5" customHeight="1">
      <c r="G10" s="8"/>
      <c r="H10" s="8"/>
      <c r="I10" s="8"/>
      <c r="J10" s="8"/>
      <c r="K10" s="8"/>
      <c r="L10" s="8"/>
      <c r="M10" s="8"/>
      <c r="N10" s="8"/>
      <c r="O10" s="8"/>
    </row>
    <row r="11" spans="1:15" s="6" customFormat="1" ht="15" customHeight="1">
      <c r="A11" s="10"/>
      <c r="G11" s="8"/>
      <c r="H11" s="8"/>
      <c r="I11" s="8"/>
      <c r="J11" s="8"/>
      <c r="K11" s="8"/>
      <c r="L11" s="8"/>
      <c r="M11" s="8"/>
      <c r="N11" s="8"/>
      <c r="O11" s="8"/>
    </row>
    <row r="12" spans="1:15" s="6" customFormat="1" ht="15" customHeight="1">
      <c r="A12" s="10"/>
      <c r="G12" s="81"/>
      <c r="H12" s="82"/>
      <c r="I12" s="8"/>
      <c r="J12" s="8"/>
      <c r="K12" s="8"/>
      <c r="L12" s="8"/>
      <c r="M12" s="8"/>
      <c r="N12" s="8"/>
      <c r="O12" s="8"/>
    </row>
    <row r="13" spans="1:14" s="6" customFormat="1" ht="16.5">
      <c r="A13" s="42"/>
      <c r="B13" s="42"/>
      <c r="C13" s="42"/>
      <c r="D13" s="42"/>
      <c r="E13" s="42"/>
      <c r="F13" s="44"/>
      <c r="G13" s="44"/>
      <c r="H13" s="8"/>
      <c r="I13" s="8"/>
      <c r="J13" s="8"/>
      <c r="K13" s="8"/>
      <c r="L13" s="8"/>
      <c r="M13" s="8"/>
      <c r="N13" s="8"/>
    </row>
    <row r="14" spans="1:8" s="48" customFormat="1" ht="15" customHeight="1">
      <c r="A14" s="129"/>
      <c r="B14" s="129"/>
      <c r="C14" s="129"/>
      <c r="D14" s="129"/>
      <c r="E14" s="130"/>
      <c r="F14" s="131" t="s">
        <v>130</v>
      </c>
      <c r="G14" s="132">
        <v>40025</v>
      </c>
      <c r="H14" s="133"/>
    </row>
    <row r="15" spans="1:8" s="6" customFormat="1" ht="15" customHeight="1">
      <c r="A15" s="42"/>
      <c r="B15" s="14"/>
      <c r="C15" s="14"/>
      <c r="D15" s="14"/>
      <c r="E15" s="14"/>
      <c r="F15" s="14"/>
      <c r="G15" s="14"/>
      <c r="H15" s="133"/>
    </row>
    <row r="16" spans="1:7" ht="16.5">
      <c r="A16" s="147" t="s">
        <v>96</v>
      </c>
      <c r="B16" s="147"/>
      <c r="C16" s="147"/>
      <c r="D16" s="147"/>
      <c r="E16" s="147"/>
      <c r="F16" s="148" t="s">
        <v>78</v>
      </c>
      <c r="G16" s="148"/>
    </row>
    <row r="17" spans="1:7" ht="16.5">
      <c r="A17" s="147"/>
      <c r="B17" s="147"/>
      <c r="C17" s="147"/>
      <c r="D17" s="147"/>
      <c r="E17" s="147"/>
      <c r="F17" s="134" t="s">
        <v>11</v>
      </c>
      <c r="G17" s="134" t="s">
        <v>57</v>
      </c>
    </row>
    <row r="18" spans="1:7" ht="6" customHeight="1">
      <c r="A18" s="31"/>
      <c r="B18" s="16"/>
      <c r="C18" s="16"/>
      <c r="D18" s="16"/>
      <c r="E18" s="16"/>
      <c r="F18" s="134"/>
      <c r="G18" s="32"/>
    </row>
    <row r="19" spans="1:8" ht="16.5">
      <c r="A19" s="31"/>
      <c r="B19" s="16" t="s">
        <v>1</v>
      </c>
      <c r="C19" s="16"/>
      <c r="D19" s="16"/>
      <c r="E19" s="16"/>
      <c r="F19" s="135">
        <v>113560834.32</v>
      </c>
      <c r="G19" s="32"/>
      <c r="H19" s="128"/>
    </row>
    <row r="20" spans="1:7" ht="6.75" customHeight="1">
      <c r="A20" s="26"/>
      <c r="B20" s="21"/>
      <c r="C20" s="21"/>
      <c r="D20" s="21"/>
      <c r="E20" s="21"/>
      <c r="F20" s="17"/>
      <c r="G20" s="136"/>
    </row>
    <row r="21" spans="1:7" ht="14.25" customHeight="1">
      <c r="A21" s="26"/>
      <c r="B21" s="21"/>
      <c r="C21" s="21"/>
      <c r="D21" s="21"/>
      <c r="E21" s="21"/>
      <c r="F21" s="17"/>
      <c r="G21" s="17"/>
    </row>
    <row r="22" spans="1:7" ht="16.5">
      <c r="A22" s="26" t="s">
        <v>80</v>
      </c>
      <c r="B22" s="27" t="s">
        <v>79</v>
      </c>
      <c r="C22" s="21"/>
      <c r="D22" s="21"/>
      <c r="E22" s="21"/>
      <c r="F22" s="17"/>
      <c r="G22" s="28"/>
    </row>
    <row r="23" spans="1:7" ht="16.5">
      <c r="A23" s="26"/>
      <c r="B23" s="21"/>
      <c r="C23" s="21"/>
      <c r="D23" s="21"/>
      <c r="E23" s="21"/>
      <c r="F23" s="17"/>
      <c r="G23" s="28"/>
    </row>
    <row r="24" spans="1:7" ht="16.5">
      <c r="A24" s="26"/>
      <c r="B24" s="21" t="s">
        <v>81</v>
      </c>
      <c r="C24" s="21" t="s">
        <v>82</v>
      </c>
      <c r="D24" s="21"/>
      <c r="E24" s="21"/>
      <c r="F24" s="137">
        <f>FIJOS!G81</f>
        <v>747231.01</v>
      </c>
      <c r="G24" s="29">
        <f>ROUND(F24/$F$19,9)</f>
        <v>0.006580006</v>
      </c>
    </row>
    <row r="25" spans="1:7" ht="16.5">
      <c r="A25" s="26"/>
      <c r="B25" s="21"/>
      <c r="C25" s="21" t="s">
        <v>83</v>
      </c>
      <c r="D25" s="21"/>
      <c r="E25" s="21"/>
      <c r="F25" s="17"/>
      <c r="G25" s="29"/>
    </row>
    <row r="26" spans="1:7" ht="16.5">
      <c r="A26" s="26"/>
      <c r="B26" s="21"/>
      <c r="C26" s="21"/>
      <c r="D26" s="21"/>
      <c r="E26" s="21"/>
      <c r="F26" s="17"/>
      <c r="G26" s="29"/>
    </row>
    <row r="27" spans="1:7" ht="16.5">
      <c r="A27" s="26"/>
      <c r="B27" s="21" t="s">
        <v>84</v>
      </c>
      <c r="C27" s="21" t="s">
        <v>85</v>
      </c>
      <c r="D27" s="21"/>
      <c r="E27" s="21"/>
      <c r="F27" s="137">
        <f>VARIABLES!G199</f>
        <v>15940101.88</v>
      </c>
      <c r="G27" s="29">
        <f>ROUND(F27/$F$19,9)</f>
        <v>0.140366192</v>
      </c>
    </row>
    <row r="28" spans="1:7" ht="16.5">
      <c r="A28" s="26"/>
      <c r="B28" s="21"/>
      <c r="C28" s="21" t="s">
        <v>86</v>
      </c>
      <c r="D28" s="21"/>
      <c r="E28" s="21"/>
      <c r="F28" s="17"/>
      <c r="G28" s="29"/>
    </row>
    <row r="29" spans="1:7" ht="16.5">
      <c r="A29" s="26"/>
      <c r="B29" s="21"/>
      <c r="C29" s="21"/>
      <c r="D29" s="21"/>
      <c r="E29" s="21"/>
      <c r="F29" s="17"/>
      <c r="G29" s="29"/>
    </row>
    <row r="30" spans="1:7" ht="6" customHeight="1">
      <c r="A30" s="31"/>
      <c r="B30" s="16"/>
      <c r="C30" s="16"/>
      <c r="D30" s="16"/>
      <c r="E30" s="16"/>
      <c r="F30" s="134"/>
      <c r="G30" s="32"/>
    </row>
    <row r="31" spans="1:9" ht="16.5">
      <c r="A31" s="31"/>
      <c r="B31" s="16"/>
      <c r="C31" s="16" t="s">
        <v>87</v>
      </c>
      <c r="D31" s="16"/>
      <c r="E31" s="16"/>
      <c r="F31" s="135">
        <f>SUM(F24:F27)</f>
        <v>16687332.89</v>
      </c>
      <c r="G31" s="32">
        <f>SUM(G24:G27)</f>
        <v>0.146946198</v>
      </c>
      <c r="H31" s="138">
        <f>F31/F19</f>
        <v>0.14694619839598236</v>
      </c>
      <c r="I31" s="139"/>
    </row>
    <row r="32" spans="1:7" ht="6.75" customHeight="1">
      <c r="A32" s="26"/>
      <c r="B32" s="21"/>
      <c r="C32" s="21"/>
      <c r="D32" s="21"/>
      <c r="E32" s="21"/>
      <c r="F32" s="17"/>
      <c r="G32" s="136"/>
    </row>
    <row r="33" spans="1:7" ht="14.25" customHeight="1">
      <c r="A33" s="26"/>
      <c r="B33" s="21"/>
      <c r="C33" s="21"/>
      <c r="D33" s="21"/>
      <c r="E33" s="21"/>
      <c r="F33" s="17"/>
      <c r="G33" s="17"/>
    </row>
    <row r="34" spans="1:9" ht="16.5">
      <c r="A34" s="26" t="s">
        <v>88</v>
      </c>
      <c r="B34" s="27" t="s">
        <v>89</v>
      </c>
      <c r="C34" s="21"/>
      <c r="D34" s="30">
        <v>0.1</v>
      </c>
      <c r="E34" s="21"/>
      <c r="F34" s="137">
        <f>ROUND(+D34*$F$19,2)</f>
        <v>11356083.43</v>
      </c>
      <c r="G34" s="29">
        <f>D34</f>
        <v>0.1</v>
      </c>
      <c r="I34" s="128"/>
    </row>
    <row r="35" spans="1:7" ht="16.5" hidden="1">
      <c r="A35" s="26"/>
      <c r="B35" s="27"/>
      <c r="C35" s="21"/>
      <c r="D35" s="30"/>
      <c r="E35" s="21"/>
      <c r="F35" s="137"/>
      <c r="G35" s="29"/>
    </row>
    <row r="36" spans="1:7" ht="16.5">
      <c r="A36" s="26"/>
      <c r="B36" s="21"/>
      <c r="C36" s="21"/>
      <c r="D36" s="21"/>
      <c r="E36" s="21"/>
      <c r="F36" s="17"/>
      <c r="G36" s="17"/>
    </row>
    <row r="37" spans="1:7" ht="4.5" customHeight="1">
      <c r="A37" s="31"/>
      <c r="B37" s="16"/>
      <c r="C37" s="16"/>
      <c r="D37" s="16"/>
      <c r="E37" s="16"/>
      <c r="F37" s="134"/>
      <c r="G37" s="32"/>
    </row>
    <row r="38" spans="1:8" ht="16.5">
      <c r="A38" s="31"/>
      <c r="B38" s="16"/>
      <c r="C38" s="16" t="s">
        <v>221</v>
      </c>
      <c r="D38" s="21"/>
      <c r="E38" s="21"/>
      <c r="F38" s="135">
        <f>+F34+F31+F19</f>
        <v>141604250.64</v>
      </c>
      <c r="G38" s="32"/>
      <c r="H38" s="10">
        <f>+F38/52</f>
        <v>2723158.666153846</v>
      </c>
    </row>
    <row r="39" spans="1:7" ht="4.5" customHeight="1">
      <c r="A39" s="21"/>
      <c r="B39" s="21"/>
      <c r="C39" s="21"/>
      <c r="D39" s="21"/>
      <c r="E39" s="21"/>
      <c r="F39" s="21"/>
      <c r="G39" s="136"/>
    </row>
    <row r="40" spans="1:8" ht="16.5">
      <c r="A40" s="26"/>
      <c r="B40" s="21"/>
      <c r="C40" s="21"/>
      <c r="D40" s="21"/>
      <c r="E40" s="21"/>
      <c r="F40" s="17"/>
      <c r="G40" s="17"/>
      <c r="H40" s="10">
        <f>+H38/3</f>
        <v>907719.5553846153</v>
      </c>
    </row>
    <row r="41" spans="1:7" ht="16.5">
      <c r="A41" s="26" t="s">
        <v>90</v>
      </c>
      <c r="B41" s="27" t="s">
        <v>91</v>
      </c>
      <c r="C41" s="21"/>
      <c r="D41" s="30">
        <v>0.19</v>
      </c>
      <c r="E41" s="21"/>
      <c r="F41" s="137">
        <f>ROUND(+D41*(F38),2)</f>
        <v>26904807.62</v>
      </c>
      <c r="G41" s="29">
        <f>D41</f>
        <v>0.19</v>
      </c>
    </row>
    <row r="42" spans="1:7" ht="16.5">
      <c r="A42" s="26"/>
      <c r="B42" s="21"/>
      <c r="C42" s="21"/>
      <c r="D42" s="21"/>
      <c r="E42" s="21"/>
      <c r="F42" s="17"/>
      <c r="G42" s="29"/>
    </row>
    <row r="43" spans="1:7" ht="6" customHeight="1">
      <c r="A43" s="31"/>
      <c r="B43" s="16"/>
      <c r="C43" s="16"/>
      <c r="D43" s="16"/>
      <c r="E43" s="16"/>
      <c r="F43" s="134"/>
      <c r="G43" s="32"/>
    </row>
    <row r="44" spans="1:8" ht="16.5">
      <c r="A44" s="31"/>
      <c r="B44" s="16"/>
      <c r="C44" s="16" t="s">
        <v>93</v>
      </c>
      <c r="D44" s="21"/>
      <c r="E44" s="21"/>
      <c r="F44" s="135">
        <f>+F41+F38</f>
        <v>168509058.26</v>
      </c>
      <c r="G44" s="32"/>
      <c r="H44" s="128"/>
    </row>
    <row r="45" spans="1:7" ht="6.75" customHeight="1">
      <c r="A45" s="21"/>
      <c r="B45" s="21"/>
      <c r="C45" s="21"/>
      <c r="D45" s="21"/>
      <c r="E45" s="21"/>
      <c r="F45" s="21"/>
      <c r="G45" s="136"/>
    </row>
    <row r="46" spans="1:7" ht="16.5">
      <c r="A46" s="21"/>
      <c r="B46" s="21"/>
      <c r="C46" s="21"/>
      <c r="D46" s="21"/>
      <c r="E46" s="21"/>
      <c r="F46" s="21"/>
      <c r="G46" s="21"/>
    </row>
    <row r="47" ht="16.5">
      <c r="F47" s="128"/>
    </row>
    <row r="49" ht="16.5">
      <c r="F49" s="140"/>
    </row>
    <row r="50" spans="5:6" ht="16.5">
      <c r="E50" s="10" t="s">
        <v>480</v>
      </c>
      <c r="F50" s="140">
        <f>+F19</f>
        <v>113560834.32</v>
      </c>
    </row>
    <row r="51" spans="5:7" ht="16.5">
      <c r="E51" s="10" t="s">
        <v>481</v>
      </c>
      <c r="F51" s="140">
        <f>ROUND(F50*G51,2)</f>
        <v>21213163.85</v>
      </c>
      <c r="G51" s="139">
        <v>0.1868</v>
      </c>
    </row>
    <row r="52" spans="5:7" ht="16.5">
      <c r="E52" s="139" t="s">
        <v>482</v>
      </c>
      <c r="F52" s="140">
        <f>ROUND(F50*G52,2)</f>
        <v>11356083.43</v>
      </c>
      <c r="G52" s="139">
        <v>0.1</v>
      </c>
    </row>
    <row r="53" spans="5:7" ht="16.5">
      <c r="E53" s="139" t="s">
        <v>483</v>
      </c>
      <c r="F53" s="140">
        <f>ROUND(SUM(F50:F52),2)</f>
        <v>146130081.6</v>
      </c>
      <c r="G53" s="139"/>
    </row>
    <row r="54" spans="5:7" ht="16.5">
      <c r="E54" s="10" t="s">
        <v>484</v>
      </c>
      <c r="F54" s="140">
        <f>ROUND(F53*G54,2)</f>
        <v>27764715.5</v>
      </c>
      <c r="G54" s="139">
        <v>0.19</v>
      </c>
    </row>
    <row r="55" spans="5:7" ht="16.5">
      <c r="E55" s="139" t="s">
        <v>485</v>
      </c>
      <c r="F55" s="140">
        <f>ROUND(SUM(F53:F54),2)</f>
        <v>173894797.1</v>
      </c>
      <c r="G55" s="139"/>
    </row>
    <row r="56" ht="16.5">
      <c r="F56" s="140"/>
    </row>
    <row r="58" ht="16.5">
      <c r="F58" s="140">
        <f>F55-F44</f>
        <v>5385738.840000004</v>
      </c>
    </row>
    <row r="60" ht="16.5">
      <c r="F60" s="141"/>
    </row>
    <row r="61" ht="16.5">
      <c r="F61" s="140"/>
    </row>
    <row r="64" spans="6:7" ht="16.5">
      <c r="F64" s="139"/>
      <c r="G64" s="139"/>
    </row>
  </sheetData>
  <mergeCells count="3">
    <mergeCell ref="A16:E17"/>
    <mergeCell ref="F16:G16"/>
    <mergeCell ref="A9:G9"/>
  </mergeCells>
  <printOptions horizontalCentered="1"/>
  <pageMargins left="0.7874015748031497" right="0.5905511811023623" top="0.5905511811023623" bottom="1.3779527559055118" header="0" footer="0.2755905511811024"/>
  <pageSetup horizontalDpi="600" verticalDpi="600" orientation="portrait" paperSize="9" scale="75" r:id="rId1"/>
  <headerFooter alignWithMargins="0">
    <oddFooter>&amp;C&amp;8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88"/>
  <sheetViews>
    <sheetView view="pageBreakPreview" zoomScaleNormal="75" zoomScaleSheetLayoutView="100" workbookViewId="0" topLeftCell="A1">
      <selection activeCell="A8" sqref="A8"/>
    </sheetView>
  </sheetViews>
  <sheetFormatPr defaultColWidth="11.421875" defaultRowHeight="12.75"/>
  <cols>
    <col min="1" max="1" width="12.00390625" style="10" customWidth="1"/>
    <col min="2" max="2" width="27.8515625" style="10" customWidth="1"/>
    <col min="3" max="3" width="22.00390625" style="10" customWidth="1"/>
    <col min="4" max="5" width="12.00390625" style="10" customWidth="1"/>
    <col min="6" max="6" width="16.8515625" style="10" customWidth="1"/>
    <col min="7" max="16384" width="12.00390625" style="10" customWidth="1"/>
  </cols>
  <sheetData>
    <row r="1" spans="1:28" s="6" customFormat="1" ht="16.5">
      <c r="A1" s="33" t="s">
        <v>491</v>
      </c>
      <c r="B1" s="5" t="s">
        <v>492</v>
      </c>
      <c r="C1" s="48"/>
      <c r="J1" s="7"/>
      <c r="O1" s="8"/>
      <c r="AB1" s="7"/>
    </row>
    <row r="2" spans="1:28" s="6" customFormat="1" ht="16.5">
      <c r="A2" s="33"/>
      <c r="B2" s="5" t="s">
        <v>493</v>
      </c>
      <c r="C2" s="48"/>
      <c r="J2" s="7"/>
      <c r="O2" s="8"/>
      <c r="AB2" s="7"/>
    </row>
    <row r="3" spans="1:28" s="6" customFormat="1" ht="16.5">
      <c r="A3" s="5" t="s">
        <v>494</v>
      </c>
      <c r="B3" s="5" t="s">
        <v>495</v>
      </c>
      <c r="C3" s="34"/>
      <c r="J3" s="7"/>
      <c r="O3" s="8"/>
      <c r="AB3" s="7"/>
    </row>
    <row r="4" spans="1:28" s="6" customFormat="1" ht="16.5">
      <c r="A4" s="33" t="s">
        <v>496</v>
      </c>
      <c r="B4" s="5" t="s">
        <v>497</v>
      </c>
      <c r="C4" s="34"/>
      <c r="G4" s="9"/>
      <c r="K4" s="7"/>
      <c r="L4" s="7"/>
      <c r="AA4" s="7"/>
      <c r="AB4" s="7"/>
    </row>
    <row r="5" spans="7:28" s="6" customFormat="1" ht="16.5">
      <c r="G5" s="9"/>
      <c r="I5" s="10"/>
      <c r="K5" s="7"/>
      <c r="L5" s="7"/>
      <c r="AA5" s="7"/>
      <c r="AB5" s="7"/>
    </row>
    <row r="6" spans="7:15" s="6" customFormat="1" ht="25.5" customHeight="1">
      <c r="G6" s="8"/>
      <c r="H6" s="8"/>
      <c r="I6" s="8"/>
      <c r="J6" s="8"/>
      <c r="K6" s="8"/>
      <c r="L6" s="8"/>
      <c r="M6" s="8"/>
      <c r="N6" s="8"/>
      <c r="O6" s="8"/>
    </row>
    <row r="7" spans="1:15" s="80" customFormat="1" ht="24" customHeight="1">
      <c r="A7" s="76" t="s">
        <v>501</v>
      </c>
      <c r="B7" s="77"/>
      <c r="C7" s="77"/>
      <c r="D7" s="77"/>
      <c r="E7" s="77"/>
      <c r="F7" s="77"/>
      <c r="G7" s="77"/>
      <c r="H7" s="77"/>
      <c r="I7" s="77"/>
      <c r="J7" s="77"/>
      <c r="K7" s="78"/>
      <c r="L7" s="78"/>
      <c r="M7" s="78"/>
      <c r="N7" s="79"/>
      <c r="O7" s="79"/>
    </row>
    <row r="8" spans="7:15" s="6" customFormat="1" ht="7.5" customHeight="1">
      <c r="G8" s="8"/>
      <c r="H8" s="8"/>
      <c r="I8" s="8"/>
      <c r="J8" s="8"/>
      <c r="K8" s="8"/>
      <c r="L8" s="8"/>
      <c r="M8" s="8"/>
      <c r="N8" s="8"/>
      <c r="O8" s="8"/>
    </row>
    <row r="9" spans="1:15" s="6" customFormat="1" ht="15" customHeight="1">
      <c r="A9" s="10"/>
      <c r="G9" s="8"/>
      <c r="H9" s="8"/>
      <c r="I9" s="8"/>
      <c r="J9" s="8"/>
      <c r="K9" s="8"/>
      <c r="L9" s="8"/>
      <c r="M9" s="8"/>
      <c r="N9" s="8"/>
      <c r="O9" s="8"/>
    </row>
    <row r="10" spans="1:15" s="6" customFormat="1" ht="15" customHeight="1">
      <c r="A10" s="10"/>
      <c r="G10" s="81"/>
      <c r="H10" s="82"/>
      <c r="I10" s="8"/>
      <c r="J10" s="8"/>
      <c r="K10" s="8"/>
      <c r="L10" s="8"/>
      <c r="M10" s="8"/>
      <c r="N10" s="8"/>
      <c r="O10" s="8"/>
    </row>
    <row r="11" spans="6:14" s="6" customFormat="1" ht="16.5">
      <c r="F11" s="8"/>
      <c r="G11" s="8"/>
      <c r="H11" s="8"/>
      <c r="I11" s="8"/>
      <c r="J11" s="8"/>
      <c r="K11" s="8"/>
      <c r="L11" s="8"/>
      <c r="M11" s="8"/>
      <c r="N11" s="8"/>
    </row>
    <row r="12" spans="2:4" ht="16.5">
      <c r="B12" s="39" t="s">
        <v>77</v>
      </c>
      <c r="D12" s="101">
        <v>18</v>
      </c>
    </row>
    <row r="13" spans="2:4" ht="16.5">
      <c r="B13" s="82" t="s">
        <v>76</v>
      </c>
      <c r="C13" s="150">
        <f>+Resumen!F19</f>
        <v>113560834.32</v>
      </c>
      <c r="D13" s="150"/>
    </row>
    <row r="15" spans="1:7" s="4" customFormat="1" ht="15" customHeight="1">
      <c r="A15" s="151" t="s">
        <v>2</v>
      </c>
      <c r="B15" s="151" t="s">
        <v>3</v>
      </c>
      <c r="C15" s="151" t="s">
        <v>4</v>
      </c>
      <c r="D15" s="102" t="s">
        <v>5</v>
      </c>
      <c r="E15" s="102"/>
      <c r="F15" s="98" t="s">
        <v>6</v>
      </c>
      <c r="G15" s="98" t="s">
        <v>7</v>
      </c>
    </row>
    <row r="16" spans="1:7" s="4" customFormat="1" ht="15" customHeight="1">
      <c r="A16" s="151"/>
      <c r="B16" s="151"/>
      <c r="C16" s="151"/>
      <c r="D16" s="98" t="s">
        <v>8</v>
      </c>
      <c r="E16" s="98" t="s">
        <v>9</v>
      </c>
      <c r="F16" s="98" t="s">
        <v>10</v>
      </c>
      <c r="G16" s="98" t="s">
        <v>11</v>
      </c>
    </row>
    <row r="17" spans="3:7" ht="15" customHeight="1">
      <c r="C17" s="11"/>
      <c r="D17" s="12"/>
      <c r="E17" s="13"/>
      <c r="F17" s="13"/>
      <c r="G17" s="13"/>
    </row>
    <row r="18" spans="1:2" ht="15" customHeight="1">
      <c r="A18" s="103" t="s">
        <v>131</v>
      </c>
      <c r="B18" s="39" t="s">
        <v>470</v>
      </c>
    </row>
    <row r="19" spans="1:7" ht="15" customHeight="1">
      <c r="A19" s="109" t="s">
        <v>132</v>
      </c>
      <c r="B19" s="10" t="s">
        <v>288</v>
      </c>
      <c r="C19" s="11" t="s">
        <v>12</v>
      </c>
      <c r="D19" s="12"/>
      <c r="E19" s="13">
        <v>200</v>
      </c>
      <c r="F19" s="13">
        <v>250</v>
      </c>
      <c r="G19" s="13">
        <f aca="true" t="shared" si="0" ref="G19:G30">ROUND(F19*E19,2)</f>
        <v>50000</v>
      </c>
    </row>
    <row r="20" spans="1:7" ht="15" customHeight="1">
      <c r="A20" s="109" t="s">
        <v>133</v>
      </c>
      <c r="B20" s="10" t="s">
        <v>289</v>
      </c>
      <c r="C20" s="11" t="s">
        <v>12</v>
      </c>
      <c r="D20" s="12"/>
      <c r="E20" s="13">
        <v>300</v>
      </c>
      <c r="F20" s="13">
        <v>150</v>
      </c>
      <c r="G20" s="13">
        <f t="shared" si="0"/>
        <v>45000</v>
      </c>
    </row>
    <row r="21" spans="1:7" ht="15" customHeight="1">
      <c r="A21" s="109" t="s">
        <v>134</v>
      </c>
      <c r="B21" s="10" t="s">
        <v>471</v>
      </c>
      <c r="C21" s="11" t="s">
        <v>12</v>
      </c>
      <c r="D21" s="12"/>
      <c r="E21" s="13">
        <v>600</v>
      </c>
      <c r="F21" s="13">
        <v>150</v>
      </c>
      <c r="G21" s="13">
        <f t="shared" si="0"/>
        <v>90000</v>
      </c>
    </row>
    <row r="22" spans="1:7" ht="15" customHeight="1">
      <c r="A22" s="109" t="s">
        <v>135</v>
      </c>
      <c r="B22" s="10" t="s">
        <v>298</v>
      </c>
      <c r="C22" s="11" t="s">
        <v>12</v>
      </c>
      <c r="D22" s="12"/>
      <c r="E22" s="13">
        <v>40</v>
      </c>
      <c r="F22" s="13">
        <v>250</v>
      </c>
      <c r="G22" s="13">
        <f t="shared" si="0"/>
        <v>10000</v>
      </c>
    </row>
    <row r="23" spans="1:7" ht="15" customHeight="1">
      <c r="A23" s="109" t="s">
        <v>136</v>
      </c>
      <c r="B23" s="10" t="s">
        <v>472</v>
      </c>
      <c r="C23" s="11" t="s">
        <v>300</v>
      </c>
      <c r="D23" s="12"/>
      <c r="E23" s="13">
        <v>1</v>
      </c>
      <c r="F23" s="13">
        <v>25000</v>
      </c>
      <c r="G23" s="13">
        <f t="shared" si="0"/>
        <v>25000</v>
      </c>
    </row>
    <row r="24" spans="1:7" ht="15" customHeight="1">
      <c r="A24" s="109" t="s">
        <v>137</v>
      </c>
      <c r="B24" s="10" t="s">
        <v>290</v>
      </c>
      <c r="C24" s="11" t="s">
        <v>12</v>
      </c>
      <c r="D24" s="12"/>
      <c r="E24" s="13">
        <v>20</v>
      </c>
      <c r="F24" s="13">
        <v>200</v>
      </c>
      <c r="G24" s="13">
        <f t="shared" si="0"/>
        <v>4000</v>
      </c>
    </row>
    <row r="25" spans="1:7" ht="15" customHeight="1">
      <c r="A25" s="109" t="s">
        <v>138</v>
      </c>
      <c r="B25" s="10" t="s">
        <v>291</v>
      </c>
      <c r="C25" s="11" t="s">
        <v>12</v>
      </c>
      <c r="D25" s="12"/>
      <c r="E25" s="13">
        <v>40</v>
      </c>
      <c r="F25" s="13">
        <v>200</v>
      </c>
      <c r="G25" s="13">
        <f t="shared" si="0"/>
        <v>8000</v>
      </c>
    </row>
    <row r="26" spans="1:7" ht="15" customHeight="1">
      <c r="A26" s="109" t="s">
        <v>139</v>
      </c>
      <c r="B26" s="10" t="s">
        <v>292</v>
      </c>
      <c r="C26" s="11" t="s">
        <v>12</v>
      </c>
      <c r="D26" s="12"/>
      <c r="E26" s="13">
        <v>80</v>
      </c>
      <c r="F26" s="13">
        <v>200</v>
      </c>
      <c r="G26" s="13">
        <f t="shared" si="0"/>
        <v>16000</v>
      </c>
    </row>
    <row r="27" spans="1:7" ht="15" customHeight="1">
      <c r="A27" s="109" t="s">
        <v>400</v>
      </c>
      <c r="B27" s="10" t="s">
        <v>293</v>
      </c>
      <c r="C27" s="11" t="s">
        <v>12</v>
      </c>
      <c r="D27" s="12"/>
      <c r="E27" s="13">
        <v>120</v>
      </c>
      <c r="F27" s="13">
        <v>250</v>
      </c>
      <c r="G27" s="13">
        <f t="shared" si="0"/>
        <v>30000</v>
      </c>
    </row>
    <row r="28" spans="1:7" ht="15" customHeight="1">
      <c r="A28" s="109" t="s">
        <v>158</v>
      </c>
      <c r="B28" s="10" t="s">
        <v>294</v>
      </c>
      <c r="C28" s="11" t="s">
        <v>12</v>
      </c>
      <c r="D28" s="12"/>
      <c r="E28" s="13">
        <v>120</v>
      </c>
      <c r="F28" s="13">
        <v>250</v>
      </c>
      <c r="G28" s="13">
        <f t="shared" si="0"/>
        <v>30000</v>
      </c>
    </row>
    <row r="29" spans="1:7" ht="15" customHeight="1">
      <c r="A29" s="109" t="s">
        <v>159</v>
      </c>
      <c r="B29" s="10" t="s">
        <v>295</v>
      </c>
      <c r="C29" s="11" t="s">
        <v>12</v>
      </c>
      <c r="D29" s="12"/>
      <c r="E29" s="13">
        <v>250</v>
      </c>
      <c r="F29" s="13">
        <v>250</v>
      </c>
      <c r="G29" s="13">
        <f t="shared" si="0"/>
        <v>62500</v>
      </c>
    </row>
    <row r="30" spans="1:7" ht="15" customHeight="1">
      <c r="A30" s="109" t="s">
        <v>160</v>
      </c>
      <c r="B30" s="21" t="s">
        <v>56</v>
      </c>
      <c r="C30" s="17" t="s">
        <v>12</v>
      </c>
      <c r="D30" s="18"/>
      <c r="E30" s="19">
        <v>100</v>
      </c>
      <c r="F30" s="19">
        <v>250</v>
      </c>
      <c r="G30" s="19">
        <f t="shared" si="0"/>
        <v>25000</v>
      </c>
    </row>
    <row r="31" spans="1:7" ht="15" customHeight="1">
      <c r="A31" s="21"/>
      <c r="B31" s="19" t="s">
        <v>231</v>
      </c>
      <c r="C31" s="17"/>
      <c r="D31" s="18"/>
      <c r="E31" s="19">
        <f>SUM(E19:E30)</f>
        <v>1871</v>
      </c>
      <c r="F31" s="19"/>
      <c r="G31" s="19">
        <f>SUM(G19:G30)</f>
        <v>395500</v>
      </c>
    </row>
    <row r="32" spans="1:7" ht="15" customHeight="1">
      <c r="A32" s="21" t="s">
        <v>226</v>
      </c>
      <c r="B32" s="21"/>
      <c r="C32" s="17"/>
      <c r="D32" s="18"/>
      <c r="E32" s="19"/>
      <c r="F32" s="19">
        <v>0.4</v>
      </c>
      <c r="G32" s="19">
        <f>ROUND($G$31*F32,2)</f>
        <v>158200</v>
      </c>
    </row>
    <row r="33" spans="1:7" ht="15" customHeight="1">
      <c r="A33" s="21" t="s">
        <v>297</v>
      </c>
      <c r="B33" s="21"/>
      <c r="C33" s="17" t="s">
        <v>296</v>
      </c>
      <c r="D33" s="18"/>
      <c r="E33" s="19">
        <v>2</v>
      </c>
      <c r="F33" s="19">
        <f>+G31*0.1</f>
        <v>39550</v>
      </c>
      <c r="G33" s="19">
        <f>+E33*F33</f>
        <v>79100</v>
      </c>
    </row>
    <row r="34" spans="1:7" ht="15" customHeight="1">
      <c r="A34" s="21" t="s">
        <v>287</v>
      </c>
      <c r="B34" s="21"/>
      <c r="C34" s="17" t="s">
        <v>12</v>
      </c>
      <c r="D34" s="18"/>
      <c r="E34" s="19">
        <f>+E31</f>
        <v>1871</v>
      </c>
      <c r="F34" s="19">
        <v>25</v>
      </c>
      <c r="G34" s="19">
        <f>+E34*F34</f>
        <v>46775</v>
      </c>
    </row>
    <row r="35" spans="1:7" ht="15" customHeight="1">
      <c r="A35" s="21" t="s">
        <v>225</v>
      </c>
      <c r="B35" s="21"/>
      <c r="C35" s="17" t="s">
        <v>12</v>
      </c>
      <c r="D35" s="18"/>
      <c r="E35" s="19">
        <f>+E31</f>
        <v>1871</v>
      </c>
      <c r="F35" s="19">
        <v>12.5</v>
      </c>
      <c r="G35" s="19">
        <f>+E35*F35</f>
        <v>23387.5</v>
      </c>
    </row>
    <row r="36" spans="1:7" ht="15" customHeight="1">
      <c r="A36" s="21"/>
      <c r="B36" s="16" t="s">
        <v>13</v>
      </c>
      <c r="C36" s="17"/>
      <c r="D36" s="18"/>
      <c r="E36" s="19"/>
      <c r="F36" s="19"/>
      <c r="G36" s="15">
        <f>SUM(G32:G35)</f>
        <v>307462.5</v>
      </c>
    </row>
    <row r="37" spans="1:7" ht="15" customHeight="1">
      <c r="A37" s="39"/>
      <c r="C37" s="11"/>
      <c r="D37" s="12"/>
      <c r="E37" s="13"/>
      <c r="F37" s="13"/>
      <c r="G37" s="101"/>
    </row>
    <row r="38" spans="1:2" ht="15" customHeight="1">
      <c r="A38" s="103" t="s">
        <v>140</v>
      </c>
      <c r="B38" s="39" t="s">
        <v>299</v>
      </c>
    </row>
    <row r="39" spans="1:7" ht="15" customHeight="1">
      <c r="A39" s="109" t="s">
        <v>141</v>
      </c>
      <c r="B39" s="10" t="str">
        <f>+B19</f>
        <v>Oficinas</v>
      </c>
      <c r="C39" s="11" t="s">
        <v>300</v>
      </c>
      <c r="D39" s="12"/>
      <c r="E39" s="13">
        <f>+E19</f>
        <v>200</v>
      </c>
      <c r="F39" s="13">
        <v>120</v>
      </c>
      <c r="G39" s="13">
        <f aca="true" t="shared" si="1" ref="G39:G49">ROUND(F39*E39,2)</f>
        <v>24000</v>
      </c>
    </row>
    <row r="40" spans="1:7" ht="15" customHeight="1">
      <c r="A40" s="109" t="s">
        <v>142</v>
      </c>
      <c r="B40" s="10" t="str">
        <f>+B20</f>
        <v>Almacenes</v>
      </c>
      <c r="C40" s="11" t="s">
        <v>300</v>
      </c>
      <c r="D40" s="12"/>
      <c r="E40" s="13">
        <f>+E20</f>
        <v>300</v>
      </c>
      <c r="F40" s="13">
        <v>15</v>
      </c>
      <c r="G40" s="13">
        <f t="shared" si="1"/>
        <v>4500</v>
      </c>
    </row>
    <row r="41" spans="1:7" ht="15" customHeight="1">
      <c r="A41" s="109" t="s">
        <v>143</v>
      </c>
      <c r="B41" s="10" t="str">
        <f>+B21</f>
        <v>Talleres (Incluye Drenaje Industrial)</v>
      </c>
      <c r="C41" s="11" t="s">
        <v>300</v>
      </c>
      <c r="D41" s="12"/>
      <c r="E41" s="13">
        <f>+E21</f>
        <v>600</v>
      </c>
      <c r="F41" s="13">
        <v>15</v>
      </c>
      <c r="G41" s="13">
        <f t="shared" si="1"/>
        <v>9000</v>
      </c>
    </row>
    <row r="42" spans="1:7" ht="15" customHeight="1">
      <c r="A42" s="109" t="s">
        <v>144</v>
      </c>
      <c r="B42" s="10" t="str">
        <f>+B22</f>
        <v>Laboratorios (incl. Pozas)</v>
      </c>
      <c r="C42" s="11" t="s">
        <v>300</v>
      </c>
      <c r="D42" s="12"/>
      <c r="E42" s="13">
        <f>+E22</f>
        <v>40</v>
      </c>
      <c r="F42" s="13">
        <v>60</v>
      </c>
      <c r="G42" s="13">
        <f t="shared" si="1"/>
        <v>2400</v>
      </c>
    </row>
    <row r="43" spans="1:7" ht="15" customHeight="1">
      <c r="A43" s="109" t="s">
        <v>401</v>
      </c>
      <c r="B43" s="10" t="str">
        <f aca="true" t="shared" si="2" ref="B43:B49">+B24</f>
        <v>Comedores Ingenieros</v>
      </c>
      <c r="C43" s="11" t="s">
        <v>300</v>
      </c>
      <c r="D43" s="12"/>
      <c r="E43" s="13">
        <f aca="true" t="shared" si="3" ref="E43:E49">+E24</f>
        <v>20</v>
      </c>
      <c r="F43" s="13">
        <v>45</v>
      </c>
      <c r="G43" s="13">
        <f t="shared" si="1"/>
        <v>900</v>
      </c>
    </row>
    <row r="44" spans="1:7" ht="15" customHeight="1">
      <c r="A44" s="109" t="s">
        <v>402</v>
      </c>
      <c r="B44" s="10" t="str">
        <f t="shared" si="2"/>
        <v>Comedores Empleados y Técnicos</v>
      </c>
      <c r="C44" s="11" t="s">
        <v>300</v>
      </c>
      <c r="D44" s="12"/>
      <c r="E44" s="13">
        <f t="shared" si="3"/>
        <v>40</v>
      </c>
      <c r="F44" s="13">
        <v>30</v>
      </c>
      <c r="G44" s="13">
        <f t="shared" si="1"/>
        <v>1200</v>
      </c>
    </row>
    <row r="45" spans="1:7" ht="15" customHeight="1">
      <c r="A45" s="109" t="s">
        <v>403</v>
      </c>
      <c r="B45" s="10" t="str">
        <f t="shared" si="2"/>
        <v>Comedores Operadores y Obreros</v>
      </c>
      <c r="C45" s="11" t="s">
        <v>300</v>
      </c>
      <c r="D45" s="12"/>
      <c r="E45" s="13">
        <f t="shared" si="3"/>
        <v>80</v>
      </c>
      <c r="F45" s="13">
        <v>15</v>
      </c>
      <c r="G45" s="13">
        <f t="shared" si="1"/>
        <v>1200</v>
      </c>
    </row>
    <row r="46" spans="1:7" ht="15" customHeight="1">
      <c r="A46" s="109" t="s">
        <v>404</v>
      </c>
      <c r="B46" s="10" t="str">
        <f t="shared" si="2"/>
        <v>Vivienda Ingenieros</v>
      </c>
      <c r="C46" s="11" t="s">
        <v>300</v>
      </c>
      <c r="D46" s="12"/>
      <c r="E46" s="13">
        <f t="shared" si="3"/>
        <v>120</v>
      </c>
      <c r="F46" s="13">
        <v>120</v>
      </c>
      <c r="G46" s="13">
        <f t="shared" si="1"/>
        <v>14400</v>
      </c>
    </row>
    <row r="47" spans="1:7" ht="15" customHeight="1">
      <c r="A47" s="109" t="s">
        <v>405</v>
      </c>
      <c r="B47" s="10" t="str">
        <f t="shared" si="2"/>
        <v>Vivienda Empleados y Técnicos</v>
      </c>
      <c r="C47" s="11" t="s">
        <v>300</v>
      </c>
      <c r="D47" s="12"/>
      <c r="E47" s="13">
        <f t="shared" si="3"/>
        <v>120</v>
      </c>
      <c r="F47" s="13">
        <v>120</v>
      </c>
      <c r="G47" s="13">
        <f t="shared" si="1"/>
        <v>14400</v>
      </c>
    </row>
    <row r="48" spans="1:7" ht="15" customHeight="1">
      <c r="A48" s="109" t="s">
        <v>406</v>
      </c>
      <c r="B48" s="10" t="str">
        <f t="shared" si="2"/>
        <v>Vivienda Operadores y Obreros</v>
      </c>
      <c r="C48" s="11" t="s">
        <v>300</v>
      </c>
      <c r="D48" s="12"/>
      <c r="E48" s="13">
        <f t="shared" si="3"/>
        <v>250</v>
      </c>
      <c r="F48" s="13">
        <v>120</v>
      </c>
      <c r="G48" s="13">
        <f t="shared" si="1"/>
        <v>30000</v>
      </c>
    </row>
    <row r="49" spans="1:7" ht="15" customHeight="1">
      <c r="A49" s="109" t="s">
        <v>407</v>
      </c>
      <c r="B49" s="10" t="str">
        <f t="shared" si="2"/>
        <v>Oficinas de la Supervisión</v>
      </c>
      <c r="C49" s="11" t="s">
        <v>300</v>
      </c>
      <c r="D49" s="12"/>
      <c r="E49" s="13">
        <f t="shared" si="3"/>
        <v>100</v>
      </c>
      <c r="F49" s="13">
        <v>120</v>
      </c>
      <c r="G49" s="13">
        <f t="shared" si="1"/>
        <v>12000</v>
      </c>
    </row>
    <row r="50" spans="2:7" ht="15" customHeight="1">
      <c r="B50" s="13" t="s">
        <v>231</v>
      </c>
      <c r="C50" s="11"/>
      <c r="D50" s="12"/>
      <c r="E50" s="13"/>
      <c r="F50" s="13"/>
      <c r="G50" s="13">
        <f>SUM(G39:G49)</f>
        <v>114000</v>
      </c>
    </row>
    <row r="51" spans="1:7" ht="15" customHeight="1">
      <c r="A51" s="21" t="s">
        <v>226</v>
      </c>
      <c r="B51" s="21"/>
      <c r="C51" s="17"/>
      <c r="D51" s="18"/>
      <c r="E51" s="19"/>
      <c r="F51" s="19">
        <v>0.4</v>
      </c>
      <c r="G51" s="19">
        <f>ROUND($G$50*F51,2)</f>
        <v>45600</v>
      </c>
    </row>
    <row r="52" spans="1:7" ht="15" customHeight="1">
      <c r="A52" s="21" t="s">
        <v>297</v>
      </c>
      <c r="B52" s="21"/>
      <c r="C52" s="17" t="s">
        <v>296</v>
      </c>
      <c r="D52" s="18"/>
      <c r="E52" s="19">
        <v>2</v>
      </c>
      <c r="F52" s="19">
        <f>+G50*0.1</f>
        <v>11400</v>
      </c>
      <c r="G52" s="19">
        <f>+E52*F52</f>
        <v>22800</v>
      </c>
    </row>
    <row r="53" spans="1:7" ht="15" customHeight="1">
      <c r="A53" s="21"/>
      <c r="B53" s="16" t="s">
        <v>301</v>
      </c>
      <c r="C53" s="17"/>
      <c r="D53" s="18"/>
      <c r="E53" s="19"/>
      <c r="F53" s="19"/>
      <c r="G53" s="15">
        <f>SUM(G51:G52)</f>
        <v>68400</v>
      </c>
    </row>
    <row r="54" spans="1:7" ht="15" customHeight="1">
      <c r="A54" s="39"/>
      <c r="C54" s="11"/>
      <c r="D54" s="12"/>
      <c r="E54" s="13"/>
      <c r="F54" s="13"/>
      <c r="G54" s="101"/>
    </row>
    <row r="55" spans="1:2" ht="15" customHeight="1">
      <c r="A55" s="108" t="s">
        <v>145</v>
      </c>
      <c r="B55" s="39" t="s">
        <v>14</v>
      </c>
    </row>
    <row r="56" spans="1:7" ht="15" customHeight="1">
      <c r="A56" s="123" t="s">
        <v>146</v>
      </c>
      <c r="B56" s="10" t="s">
        <v>227</v>
      </c>
      <c r="C56" s="11" t="s">
        <v>15</v>
      </c>
      <c r="D56" s="12"/>
      <c r="E56" s="13">
        <v>1</v>
      </c>
      <c r="F56" s="13">
        <v>12000</v>
      </c>
      <c r="G56" s="13">
        <f>ROUND(F56*E56,2)</f>
        <v>12000</v>
      </c>
    </row>
    <row r="57" spans="1:7" ht="15" customHeight="1">
      <c r="A57" s="123" t="s">
        <v>147</v>
      </c>
      <c r="B57" s="10" t="s">
        <v>228</v>
      </c>
      <c r="C57" s="11" t="s">
        <v>15</v>
      </c>
      <c r="D57" s="12"/>
      <c r="E57" s="13">
        <v>1</v>
      </c>
      <c r="F57" s="13">
        <v>4000</v>
      </c>
      <c r="G57" s="13">
        <f>ROUND(F57*E57,2)</f>
        <v>4000</v>
      </c>
    </row>
    <row r="58" spans="1:7" ht="15" customHeight="1">
      <c r="A58" s="123" t="s">
        <v>148</v>
      </c>
      <c r="B58" s="10" t="s">
        <v>230</v>
      </c>
      <c r="C58" s="11" t="s">
        <v>16</v>
      </c>
      <c r="D58" s="12"/>
      <c r="E58" s="13">
        <v>2</v>
      </c>
      <c r="F58" s="13">
        <v>3000</v>
      </c>
      <c r="G58" s="13">
        <f>ROUND(F58*E58,2)</f>
        <v>6000</v>
      </c>
    </row>
    <row r="59" spans="1:7" ht="15" customHeight="1">
      <c r="A59" s="123" t="s">
        <v>149</v>
      </c>
      <c r="B59" s="10" t="s">
        <v>229</v>
      </c>
      <c r="C59" s="11" t="s">
        <v>15</v>
      </c>
      <c r="D59" s="12"/>
      <c r="E59" s="13">
        <v>1</v>
      </c>
      <c r="F59" s="13">
        <v>5000</v>
      </c>
      <c r="G59" s="13">
        <f>ROUND(F59*E59,2)</f>
        <v>5000</v>
      </c>
    </row>
    <row r="60" spans="2:7" ht="15" customHeight="1">
      <c r="B60" s="39" t="s">
        <v>17</v>
      </c>
      <c r="C60" s="11"/>
      <c r="D60" s="12"/>
      <c r="E60" s="13"/>
      <c r="F60" s="13"/>
      <c r="G60" s="101">
        <f>SUM(G56:G59)</f>
        <v>27000</v>
      </c>
    </row>
    <row r="61" spans="1:7" ht="15" customHeight="1">
      <c r="A61" s="39"/>
      <c r="C61" s="11"/>
      <c r="D61" s="12"/>
      <c r="E61" s="13"/>
      <c r="F61" s="13"/>
      <c r="G61" s="13"/>
    </row>
    <row r="62" spans="1:7" ht="15" customHeight="1">
      <c r="A62" s="108" t="s">
        <v>155</v>
      </c>
      <c r="B62" s="16" t="s">
        <v>19</v>
      </c>
      <c r="C62" s="21"/>
      <c r="D62" s="21"/>
      <c r="E62" s="21"/>
      <c r="F62" s="21"/>
      <c r="G62" s="21"/>
    </row>
    <row r="63" spans="1:7" ht="15" customHeight="1">
      <c r="A63" s="123" t="s">
        <v>156</v>
      </c>
      <c r="B63" s="21" t="s">
        <v>20</v>
      </c>
      <c r="C63" s="17" t="s">
        <v>18</v>
      </c>
      <c r="D63" s="124">
        <v>1</v>
      </c>
      <c r="E63" s="19">
        <v>1</v>
      </c>
      <c r="F63" s="19">
        <f>+VARIABLES!F19</f>
        <v>15000</v>
      </c>
      <c r="G63" s="19">
        <f aca="true" t="shared" si="4" ref="G63:G74">ROUND(F63*E63*D63,2)</f>
        <v>15000</v>
      </c>
    </row>
    <row r="64" spans="1:7" ht="15" customHeight="1">
      <c r="A64" s="123" t="s">
        <v>178</v>
      </c>
      <c r="B64" s="14" t="s">
        <v>398</v>
      </c>
      <c r="C64" s="17" t="s">
        <v>18</v>
      </c>
      <c r="D64" s="124">
        <v>1</v>
      </c>
      <c r="E64" s="19">
        <v>1</v>
      </c>
      <c r="F64" s="19">
        <f>+VARIABLES!F20</f>
        <v>9000</v>
      </c>
      <c r="G64" s="19">
        <f t="shared" si="4"/>
        <v>9000</v>
      </c>
    </row>
    <row r="65" spans="1:7" ht="15" customHeight="1">
      <c r="A65" s="123" t="s">
        <v>179</v>
      </c>
      <c r="B65" s="14" t="s">
        <v>320</v>
      </c>
      <c r="C65" s="17" t="s">
        <v>18</v>
      </c>
      <c r="D65" s="124">
        <v>1</v>
      </c>
      <c r="E65" s="19">
        <v>1</v>
      </c>
      <c r="F65" s="19">
        <f>+VARIABLES!F47</f>
        <v>3500</v>
      </c>
      <c r="G65" s="19">
        <f t="shared" si="4"/>
        <v>3500</v>
      </c>
    </row>
    <row r="66" spans="1:7" ht="15" customHeight="1">
      <c r="A66" s="123" t="s">
        <v>396</v>
      </c>
      <c r="B66" s="21" t="s">
        <v>21</v>
      </c>
      <c r="C66" s="17" t="s">
        <v>18</v>
      </c>
      <c r="D66" s="124">
        <v>1</v>
      </c>
      <c r="E66" s="19">
        <v>1</v>
      </c>
      <c r="F66" s="19">
        <v>1500</v>
      </c>
      <c r="G66" s="19">
        <f t="shared" si="4"/>
        <v>1500</v>
      </c>
    </row>
    <row r="67" spans="1:7" ht="15" customHeight="1">
      <c r="A67" s="123" t="s">
        <v>408</v>
      </c>
      <c r="B67" s="21" t="s">
        <v>220</v>
      </c>
      <c r="C67" s="17" t="s">
        <v>18</v>
      </c>
      <c r="D67" s="124">
        <v>2</v>
      </c>
      <c r="E67" s="19">
        <v>1</v>
      </c>
      <c r="F67" s="19">
        <v>2500</v>
      </c>
      <c r="G67" s="19">
        <f t="shared" si="4"/>
        <v>5000</v>
      </c>
    </row>
    <row r="68" spans="1:7" ht="15" customHeight="1">
      <c r="A68" s="123" t="s">
        <v>409</v>
      </c>
      <c r="B68" s="21" t="s">
        <v>22</v>
      </c>
      <c r="C68" s="17" t="s">
        <v>23</v>
      </c>
      <c r="D68" s="124">
        <v>1</v>
      </c>
      <c r="E68" s="107">
        <v>0.49</v>
      </c>
      <c r="F68" s="19">
        <f>SUM(G63:G67)</f>
        <v>34000</v>
      </c>
      <c r="G68" s="19">
        <f t="shared" si="4"/>
        <v>16660</v>
      </c>
    </row>
    <row r="69" spans="1:7" ht="15" customHeight="1">
      <c r="A69" s="123" t="s">
        <v>410</v>
      </c>
      <c r="B69" s="21" t="s">
        <v>302</v>
      </c>
      <c r="C69" s="17" t="s">
        <v>15</v>
      </c>
      <c r="D69" s="124">
        <v>1</v>
      </c>
      <c r="E69" s="19">
        <v>1</v>
      </c>
      <c r="F69" s="19">
        <f>400*3*3</f>
        <v>3600</v>
      </c>
      <c r="G69" s="19">
        <f t="shared" si="4"/>
        <v>3600</v>
      </c>
    </row>
    <row r="70" spans="1:7" ht="15" customHeight="1">
      <c r="A70" s="123" t="s">
        <v>411</v>
      </c>
      <c r="B70" s="21" t="s">
        <v>303</v>
      </c>
      <c r="C70" s="17" t="s">
        <v>15</v>
      </c>
      <c r="D70" s="124">
        <v>1</v>
      </c>
      <c r="E70" s="19">
        <v>1</v>
      </c>
      <c r="F70" s="19">
        <f>10000*3*0.1</f>
        <v>3000</v>
      </c>
      <c r="G70" s="19">
        <f t="shared" si="4"/>
        <v>3000</v>
      </c>
    </row>
    <row r="71" spans="1:7" ht="15" customHeight="1">
      <c r="A71" s="123" t="s">
        <v>412</v>
      </c>
      <c r="B71" s="21" t="s">
        <v>304</v>
      </c>
      <c r="C71" s="17" t="s">
        <v>15</v>
      </c>
      <c r="D71" s="124">
        <v>1</v>
      </c>
      <c r="E71" s="19">
        <v>1</v>
      </c>
      <c r="F71" s="19">
        <v>1200</v>
      </c>
      <c r="G71" s="19">
        <f t="shared" si="4"/>
        <v>1200</v>
      </c>
    </row>
    <row r="72" spans="1:7" ht="15" customHeight="1">
      <c r="A72" s="123" t="s">
        <v>413</v>
      </c>
      <c r="B72" s="21" t="s">
        <v>24</v>
      </c>
      <c r="C72" s="17" t="s">
        <v>15</v>
      </c>
      <c r="D72" s="124">
        <v>1</v>
      </c>
      <c r="E72" s="19">
        <v>1</v>
      </c>
      <c r="F72" s="19">
        <v>1000</v>
      </c>
      <c r="G72" s="19">
        <f t="shared" si="4"/>
        <v>1000</v>
      </c>
    </row>
    <row r="73" spans="1:7" ht="15" customHeight="1">
      <c r="A73" s="123" t="s">
        <v>414</v>
      </c>
      <c r="B73" s="21" t="s">
        <v>305</v>
      </c>
      <c r="C73" s="17" t="s">
        <v>15</v>
      </c>
      <c r="D73" s="124">
        <v>1</v>
      </c>
      <c r="E73" s="19">
        <v>1</v>
      </c>
      <c r="F73" s="19">
        <v>1200</v>
      </c>
      <c r="G73" s="19">
        <f t="shared" si="4"/>
        <v>1200</v>
      </c>
    </row>
    <row r="74" spans="1:7" ht="15" customHeight="1">
      <c r="A74" s="123" t="s">
        <v>415</v>
      </c>
      <c r="B74" s="21" t="s">
        <v>25</v>
      </c>
      <c r="C74" s="17" t="s">
        <v>15</v>
      </c>
      <c r="D74" s="124">
        <v>1</v>
      </c>
      <c r="E74" s="19">
        <v>1</v>
      </c>
      <c r="F74" s="19">
        <v>500</v>
      </c>
      <c r="G74" s="19">
        <f t="shared" si="4"/>
        <v>500</v>
      </c>
    </row>
    <row r="75" spans="1:7" ht="15" customHeight="1">
      <c r="A75" s="21"/>
      <c r="B75" s="16" t="s">
        <v>26</v>
      </c>
      <c r="C75" s="17"/>
      <c r="D75" s="18"/>
      <c r="E75" s="19"/>
      <c r="F75" s="19"/>
      <c r="G75" s="15">
        <f>SUM(G63:G74)</f>
        <v>61160</v>
      </c>
    </row>
    <row r="76" spans="1:7" ht="15" customHeight="1">
      <c r="A76" s="16"/>
      <c r="B76" s="21"/>
      <c r="C76" s="17"/>
      <c r="D76" s="18"/>
      <c r="E76" s="19"/>
      <c r="F76" s="19"/>
      <c r="G76" s="15"/>
    </row>
    <row r="77" spans="1:2" ht="15" customHeight="1">
      <c r="A77" s="103" t="s">
        <v>180</v>
      </c>
      <c r="B77" s="39" t="s">
        <v>27</v>
      </c>
    </row>
    <row r="78" spans="1:7" ht="15" customHeight="1">
      <c r="A78" s="109" t="s">
        <v>181</v>
      </c>
      <c r="B78" s="10" t="s">
        <v>28</v>
      </c>
      <c r="C78" s="11" t="s">
        <v>57</v>
      </c>
      <c r="D78" s="125">
        <f>0.2/100</f>
        <v>0.002</v>
      </c>
      <c r="E78" s="13">
        <v>1</v>
      </c>
      <c r="F78" s="19">
        <f>+F86</f>
        <v>141604250.64</v>
      </c>
      <c r="G78" s="13">
        <f>ROUND(F78*E78*D78,2)+0.01</f>
        <v>283208.51</v>
      </c>
    </row>
    <row r="79" spans="2:7" ht="15" customHeight="1">
      <c r="B79" s="39" t="s">
        <v>29</v>
      </c>
      <c r="C79" s="11"/>
      <c r="D79" s="12"/>
      <c r="E79" s="13"/>
      <c r="F79" s="13"/>
      <c r="G79" s="101">
        <f>SUM(G77:G78)</f>
        <v>283208.51</v>
      </c>
    </row>
    <row r="80" spans="1:7" ht="15" customHeight="1">
      <c r="A80" s="39"/>
      <c r="C80" s="11"/>
      <c r="D80" s="12"/>
      <c r="E80" s="13"/>
      <c r="F80" s="13"/>
      <c r="G80" s="101"/>
    </row>
    <row r="81" spans="1:7" s="4" customFormat="1" ht="21" customHeight="1">
      <c r="A81" s="89" t="s">
        <v>157</v>
      </c>
      <c r="B81" s="89"/>
      <c r="D81" s="126"/>
      <c r="F81" s="127" t="s">
        <v>11</v>
      </c>
      <c r="G81" s="122">
        <f>+G79+G75+G60+G36+G53</f>
        <v>747231.01</v>
      </c>
    </row>
    <row r="85" ht="16.5">
      <c r="F85" s="128">
        <f>+Resumen!F38</f>
        <v>141604250.64</v>
      </c>
    </row>
    <row r="86" ht="16.5">
      <c r="F86" s="128">
        <v>141604250.64</v>
      </c>
    </row>
    <row r="88" ht="16.5">
      <c r="F88" s="128"/>
    </row>
  </sheetData>
  <mergeCells count="4">
    <mergeCell ref="C13:D13"/>
    <mergeCell ref="A15:A16"/>
    <mergeCell ref="B15:B16"/>
    <mergeCell ref="C15:C16"/>
  </mergeCells>
  <printOptions horizontalCentered="1"/>
  <pageMargins left="0.7874015748031497" right="0.5905511811023623" top="0.5905511811023623" bottom="1.3779527559055118" header="0" footer="0.2755905511811024"/>
  <pageSetup horizontalDpi="600" verticalDpi="600" orientation="portrait" paperSize="9" scale="75" r:id="rId1"/>
  <headerFooter alignWithMargins="0">
    <oddFooter>&amp;C&amp;8
</oddFooter>
  </headerFooter>
  <rowBreaks count="1" manualBreakCount="1">
    <brk id="6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199"/>
  <sheetViews>
    <sheetView view="pageBreakPreview" zoomScaleSheetLayoutView="100" workbookViewId="0" topLeftCell="A181">
      <selection activeCell="A7" sqref="A7"/>
    </sheetView>
  </sheetViews>
  <sheetFormatPr defaultColWidth="11.421875" defaultRowHeight="12.75"/>
  <cols>
    <col min="1" max="1" width="13.140625" style="10" customWidth="1"/>
    <col min="2" max="2" width="52.421875" style="10" customWidth="1"/>
    <col min="3" max="3" width="6.28125" style="10" customWidth="1"/>
    <col min="4" max="5" width="8.7109375" style="10" customWidth="1"/>
    <col min="6" max="6" width="16.7109375" style="10" customWidth="1"/>
    <col min="7" max="7" width="17.28125" style="10" customWidth="1"/>
    <col min="8" max="16384" width="11.421875" style="10" customWidth="1"/>
  </cols>
  <sheetData>
    <row r="1" spans="1:28" s="6" customFormat="1" ht="16.5">
      <c r="A1" s="33" t="s">
        <v>491</v>
      </c>
      <c r="B1" s="5" t="s">
        <v>492</v>
      </c>
      <c r="C1" s="48"/>
      <c r="J1" s="7"/>
      <c r="O1" s="8"/>
      <c r="AB1" s="7"/>
    </row>
    <row r="2" spans="1:28" s="6" customFormat="1" ht="16.5">
      <c r="A2" s="33"/>
      <c r="B2" s="5" t="s">
        <v>493</v>
      </c>
      <c r="C2" s="48"/>
      <c r="G2" s="9"/>
      <c r="K2" s="7"/>
      <c r="L2" s="7"/>
      <c r="AA2" s="7"/>
      <c r="AB2" s="7"/>
    </row>
    <row r="3" spans="1:28" s="6" customFormat="1" ht="16.5">
      <c r="A3" s="5" t="s">
        <v>494</v>
      </c>
      <c r="B3" s="5" t="s">
        <v>495</v>
      </c>
      <c r="C3" s="34"/>
      <c r="G3" s="9"/>
      <c r="I3" s="10"/>
      <c r="K3" s="7"/>
      <c r="L3" s="7"/>
      <c r="AA3" s="7"/>
      <c r="AB3" s="7"/>
    </row>
    <row r="4" spans="1:15" s="6" customFormat="1" ht="16.5">
      <c r="A4" s="33" t="s">
        <v>496</v>
      </c>
      <c r="B4" s="5" t="s">
        <v>497</v>
      </c>
      <c r="C4" s="34"/>
      <c r="O4" s="8"/>
    </row>
    <row r="5" spans="7:15" s="6" customFormat="1" ht="16.5">
      <c r="G5" s="8"/>
      <c r="H5" s="8"/>
      <c r="I5" s="8"/>
      <c r="J5" s="8"/>
      <c r="K5" s="8"/>
      <c r="L5" s="8"/>
      <c r="M5" s="8"/>
      <c r="N5" s="8"/>
      <c r="O5" s="8"/>
    </row>
    <row r="6" spans="1:15" s="80" customFormat="1" ht="24" customHeight="1">
      <c r="A6" s="76" t="s">
        <v>502</v>
      </c>
      <c r="B6" s="77"/>
      <c r="C6" s="77"/>
      <c r="D6" s="77"/>
      <c r="E6" s="77"/>
      <c r="F6" s="77"/>
      <c r="G6" s="77"/>
      <c r="H6" s="77"/>
      <c r="I6" s="77"/>
      <c r="J6" s="77"/>
      <c r="K6" s="78"/>
      <c r="L6" s="78"/>
      <c r="M6" s="78"/>
      <c r="N6" s="79"/>
      <c r="O6" s="79"/>
    </row>
    <row r="7" spans="7:15" s="6" customFormat="1" ht="7.5" customHeight="1">
      <c r="G7" s="8"/>
      <c r="H7" s="8"/>
      <c r="I7" s="8"/>
      <c r="J7" s="8"/>
      <c r="K7" s="8"/>
      <c r="L7" s="8"/>
      <c r="M7" s="8"/>
      <c r="N7" s="8"/>
      <c r="O7" s="8"/>
    </row>
    <row r="8" spans="1:15" s="6" customFormat="1" ht="15" customHeight="1">
      <c r="A8" s="10"/>
      <c r="G8" s="8"/>
      <c r="H8" s="8"/>
      <c r="I8" s="8"/>
      <c r="J8" s="8"/>
      <c r="K8" s="8"/>
      <c r="L8" s="8"/>
      <c r="M8" s="8"/>
      <c r="N8" s="8"/>
      <c r="O8" s="8"/>
    </row>
    <row r="9" spans="1:15" s="6" customFormat="1" ht="15" customHeight="1">
      <c r="A9" s="10"/>
      <c r="G9" s="81"/>
      <c r="H9" s="82"/>
      <c r="I9" s="8"/>
      <c r="J9" s="8"/>
      <c r="K9" s="8"/>
      <c r="L9" s="8"/>
      <c r="M9" s="8"/>
      <c r="N9" s="8"/>
      <c r="O9" s="8"/>
    </row>
    <row r="10" spans="6:14" s="6" customFormat="1" ht="16.5">
      <c r="F10" s="8"/>
      <c r="G10" s="8"/>
      <c r="H10" s="8"/>
      <c r="I10" s="8"/>
      <c r="J10" s="8"/>
      <c r="K10" s="8"/>
      <c r="L10" s="8"/>
      <c r="M10" s="8"/>
      <c r="N10" s="8"/>
    </row>
    <row r="11" spans="2:4" ht="16.5">
      <c r="B11" s="39" t="s">
        <v>0</v>
      </c>
      <c r="D11" s="101">
        <f>+FIJOS!D12</f>
        <v>18</v>
      </c>
    </row>
    <row r="12" spans="2:4" ht="16.5">
      <c r="B12" s="39" t="s">
        <v>1</v>
      </c>
      <c r="C12" s="152">
        <f>+FIJOS!C13</f>
        <v>113560834.32</v>
      </c>
      <c r="D12" s="152"/>
    </row>
    <row r="14" spans="1:7" s="4" customFormat="1" ht="18" customHeight="1">
      <c r="A14" s="151" t="s">
        <v>2</v>
      </c>
      <c r="B14" s="151" t="s">
        <v>3</v>
      </c>
      <c r="C14" s="151" t="s">
        <v>4</v>
      </c>
      <c r="D14" s="102" t="s">
        <v>5</v>
      </c>
      <c r="E14" s="102"/>
      <c r="F14" s="98" t="s">
        <v>6</v>
      </c>
      <c r="G14" s="98" t="s">
        <v>7</v>
      </c>
    </row>
    <row r="15" spans="1:7" s="4" customFormat="1" ht="18" customHeight="1">
      <c r="A15" s="151"/>
      <c r="B15" s="151"/>
      <c r="C15" s="151"/>
      <c r="D15" s="98" t="s">
        <v>8</v>
      </c>
      <c r="E15" s="98" t="s">
        <v>9</v>
      </c>
      <c r="F15" s="98" t="s">
        <v>10</v>
      </c>
      <c r="G15" s="98" t="s">
        <v>11</v>
      </c>
    </row>
    <row r="16" spans="3:7" ht="6.75" customHeight="1">
      <c r="C16" s="11"/>
      <c r="D16" s="12"/>
      <c r="E16" s="13"/>
      <c r="F16" s="13"/>
      <c r="G16" s="13"/>
    </row>
    <row r="17" spans="1:2" ht="18" customHeight="1">
      <c r="A17" s="103" t="s">
        <v>131</v>
      </c>
      <c r="B17" s="39" t="s">
        <v>259</v>
      </c>
    </row>
    <row r="18" spans="1:2" ht="18" customHeight="1">
      <c r="A18" s="103"/>
      <c r="B18" s="39" t="s">
        <v>232</v>
      </c>
    </row>
    <row r="19" spans="1:7" ht="15" customHeight="1">
      <c r="A19" s="104" t="s">
        <v>132</v>
      </c>
      <c r="B19" s="14" t="s">
        <v>309</v>
      </c>
      <c r="C19" s="11" t="s">
        <v>18</v>
      </c>
      <c r="D19" s="105">
        <v>1</v>
      </c>
      <c r="E19" s="13">
        <f>+D11</f>
        <v>18</v>
      </c>
      <c r="F19" s="13">
        <v>15000</v>
      </c>
      <c r="G19" s="13">
        <f aca="true" t="shared" si="0" ref="G19:G42">ROUND(F19*E19*D19,2)</f>
        <v>270000</v>
      </c>
    </row>
    <row r="20" spans="1:7" ht="15" customHeight="1">
      <c r="A20" s="104" t="s">
        <v>133</v>
      </c>
      <c r="B20" s="14" t="s">
        <v>398</v>
      </c>
      <c r="C20" s="11" t="s">
        <v>18</v>
      </c>
      <c r="D20" s="105">
        <v>1</v>
      </c>
      <c r="E20" s="13">
        <f>+D11</f>
        <v>18</v>
      </c>
      <c r="F20" s="13">
        <v>9000</v>
      </c>
      <c r="G20" s="13">
        <f t="shared" si="0"/>
        <v>162000</v>
      </c>
    </row>
    <row r="21" spans="1:7" ht="15" customHeight="1">
      <c r="A21" s="104" t="s">
        <v>134</v>
      </c>
      <c r="B21" s="14" t="s">
        <v>311</v>
      </c>
      <c r="C21" s="11" t="s">
        <v>18</v>
      </c>
      <c r="D21" s="105">
        <v>1</v>
      </c>
      <c r="E21" s="13">
        <f>+D11</f>
        <v>18</v>
      </c>
      <c r="F21" s="13">
        <v>9000</v>
      </c>
      <c r="G21" s="13">
        <f t="shared" si="0"/>
        <v>162000</v>
      </c>
    </row>
    <row r="22" spans="1:7" ht="15" customHeight="1">
      <c r="A22" s="104" t="s">
        <v>135</v>
      </c>
      <c r="B22" s="14" t="s">
        <v>271</v>
      </c>
      <c r="C22" s="11" t="s">
        <v>18</v>
      </c>
      <c r="D22" s="105">
        <v>1</v>
      </c>
      <c r="E22" s="13">
        <f>+E19</f>
        <v>18</v>
      </c>
      <c r="F22" s="13">
        <v>9000</v>
      </c>
      <c r="G22" s="13">
        <f t="shared" si="0"/>
        <v>162000</v>
      </c>
    </row>
    <row r="23" spans="1:7" ht="15" customHeight="1">
      <c r="A23" s="104" t="s">
        <v>136</v>
      </c>
      <c r="B23" s="14" t="s">
        <v>272</v>
      </c>
      <c r="C23" s="11" t="s">
        <v>18</v>
      </c>
      <c r="D23" s="105">
        <v>1</v>
      </c>
      <c r="E23" s="13">
        <f>+E22</f>
        <v>18</v>
      </c>
      <c r="F23" s="13">
        <v>9000</v>
      </c>
      <c r="G23" s="13">
        <f t="shared" si="0"/>
        <v>162000</v>
      </c>
    </row>
    <row r="24" spans="1:7" ht="15" customHeight="1">
      <c r="A24" s="104" t="s">
        <v>137</v>
      </c>
      <c r="B24" s="14" t="s">
        <v>218</v>
      </c>
      <c r="C24" s="11" t="s">
        <v>18</v>
      </c>
      <c r="D24" s="105">
        <v>1</v>
      </c>
      <c r="E24" s="13">
        <f>+D11</f>
        <v>18</v>
      </c>
      <c r="F24" s="13">
        <v>9000</v>
      </c>
      <c r="G24" s="13">
        <f t="shared" si="0"/>
        <v>162000</v>
      </c>
    </row>
    <row r="25" spans="1:7" ht="15" customHeight="1">
      <c r="A25" s="104" t="s">
        <v>138</v>
      </c>
      <c r="B25" s="14" t="s">
        <v>310</v>
      </c>
      <c r="C25" s="11" t="s">
        <v>18</v>
      </c>
      <c r="D25" s="105">
        <v>1</v>
      </c>
      <c r="E25" s="13">
        <v>18</v>
      </c>
      <c r="F25" s="13">
        <v>9000</v>
      </c>
      <c r="G25" s="13">
        <f t="shared" si="0"/>
        <v>162000</v>
      </c>
    </row>
    <row r="26" spans="1:7" ht="15" customHeight="1">
      <c r="A26" s="104" t="s">
        <v>139</v>
      </c>
      <c r="B26" s="21" t="s">
        <v>336</v>
      </c>
      <c r="C26" s="11" t="s">
        <v>18</v>
      </c>
      <c r="D26" s="105">
        <v>1</v>
      </c>
      <c r="E26" s="13">
        <f>+D11</f>
        <v>18</v>
      </c>
      <c r="F26" s="13">
        <v>9000</v>
      </c>
      <c r="G26" s="13">
        <f t="shared" si="0"/>
        <v>162000</v>
      </c>
    </row>
    <row r="27" spans="1:7" ht="15" customHeight="1">
      <c r="A27" s="104" t="s">
        <v>400</v>
      </c>
      <c r="B27" s="21" t="s">
        <v>334</v>
      </c>
      <c r="C27" s="11" t="s">
        <v>18</v>
      </c>
      <c r="D27" s="105">
        <v>1</v>
      </c>
      <c r="E27" s="13">
        <f>+D11</f>
        <v>18</v>
      </c>
      <c r="F27" s="13">
        <v>7500</v>
      </c>
      <c r="G27" s="13">
        <f t="shared" si="0"/>
        <v>135000</v>
      </c>
    </row>
    <row r="28" spans="1:7" ht="15" customHeight="1">
      <c r="A28" s="104" t="s">
        <v>158</v>
      </c>
      <c r="B28" s="21" t="s">
        <v>335</v>
      </c>
      <c r="C28" s="11" t="s">
        <v>18</v>
      </c>
      <c r="D28" s="105">
        <v>1</v>
      </c>
      <c r="E28" s="13">
        <f>+D11</f>
        <v>18</v>
      </c>
      <c r="F28" s="13">
        <v>6000</v>
      </c>
      <c r="G28" s="13">
        <f t="shared" si="0"/>
        <v>108000</v>
      </c>
    </row>
    <row r="29" spans="1:7" ht="15" customHeight="1">
      <c r="A29" s="104" t="s">
        <v>159</v>
      </c>
      <c r="B29" s="21" t="s">
        <v>333</v>
      </c>
      <c r="C29" s="11" t="s">
        <v>18</v>
      </c>
      <c r="D29" s="105">
        <v>1</v>
      </c>
      <c r="E29" s="13">
        <f>+D11</f>
        <v>18</v>
      </c>
      <c r="F29" s="13">
        <v>6000</v>
      </c>
      <c r="G29" s="13">
        <f t="shared" si="0"/>
        <v>108000</v>
      </c>
    </row>
    <row r="30" spans="1:7" ht="15" customHeight="1">
      <c r="A30" s="104" t="s">
        <v>160</v>
      </c>
      <c r="B30" s="21" t="s">
        <v>318</v>
      </c>
      <c r="C30" s="11" t="s">
        <v>18</v>
      </c>
      <c r="D30" s="105">
        <v>1</v>
      </c>
      <c r="E30" s="13">
        <f>+D11</f>
        <v>18</v>
      </c>
      <c r="F30" s="13">
        <v>6000</v>
      </c>
      <c r="G30" s="13">
        <f t="shared" si="0"/>
        <v>108000</v>
      </c>
    </row>
    <row r="31" spans="1:7" ht="15" customHeight="1">
      <c r="A31" s="104" t="s">
        <v>161</v>
      </c>
      <c r="B31" s="14" t="s">
        <v>30</v>
      </c>
      <c r="C31" s="11" t="s">
        <v>18</v>
      </c>
      <c r="D31" s="105">
        <v>1</v>
      </c>
      <c r="E31" s="13">
        <v>18</v>
      </c>
      <c r="F31" s="13">
        <v>4000</v>
      </c>
      <c r="G31" s="13">
        <f t="shared" si="0"/>
        <v>72000</v>
      </c>
    </row>
    <row r="32" spans="1:7" ht="15" customHeight="1">
      <c r="A32" s="104" t="s">
        <v>162</v>
      </c>
      <c r="B32" s="14" t="s">
        <v>31</v>
      </c>
      <c r="C32" s="11" t="s">
        <v>18</v>
      </c>
      <c r="D32" s="105">
        <v>3</v>
      </c>
      <c r="E32" s="13">
        <f>+E30</f>
        <v>18</v>
      </c>
      <c r="F32" s="13">
        <v>2000</v>
      </c>
      <c r="G32" s="13">
        <f t="shared" si="0"/>
        <v>108000</v>
      </c>
    </row>
    <row r="33" spans="1:7" ht="15" customHeight="1">
      <c r="A33" s="104" t="s">
        <v>163</v>
      </c>
      <c r="B33" s="14" t="s">
        <v>274</v>
      </c>
      <c r="C33" s="11" t="s">
        <v>18</v>
      </c>
      <c r="D33" s="105">
        <v>1</v>
      </c>
      <c r="E33" s="13">
        <f>+E32</f>
        <v>18</v>
      </c>
      <c r="F33" s="13">
        <v>3500</v>
      </c>
      <c r="G33" s="13">
        <f t="shared" si="0"/>
        <v>63000</v>
      </c>
    </row>
    <row r="34" spans="1:7" ht="15" customHeight="1">
      <c r="A34" s="104" t="s">
        <v>164</v>
      </c>
      <c r="B34" s="14" t="s">
        <v>275</v>
      </c>
      <c r="C34" s="11" t="s">
        <v>18</v>
      </c>
      <c r="D34" s="105">
        <v>3</v>
      </c>
      <c r="E34" s="13">
        <v>17</v>
      </c>
      <c r="F34" s="13">
        <v>2500</v>
      </c>
      <c r="G34" s="13">
        <f t="shared" si="0"/>
        <v>127500</v>
      </c>
    </row>
    <row r="35" spans="1:7" ht="15" customHeight="1">
      <c r="A35" s="104" t="s">
        <v>165</v>
      </c>
      <c r="B35" s="14" t="s">
        <v>276</v>
      </c>
      <c r="C35" s="11" t="s">
        <v>18</v>
      </c>
      <c r="D35" s="105">
        <v>3</v>
      </c>
      <c r="E35" s="13">
        <v>17</v>
      </c>
      <c r="F35" s="13">
        <v>1800</v>
      </c>
      <c r="G35" s="13">
        <f t="shared" si="0"/>
        <v>91800</v>
      </c>
    </row>
    <row r="36" spans="1:7" ht="15" customHeight="1">
      <c r="A36" s="104" t="s">
        <v>166</v>
      </c>
      <c r="B36" s="14" t="s">
        <v>273</v>
      </c>
      <c r="C36" s="11" t="s">
        <v>18</v>
      </c>
      <c r="D36" s="105">
        <v>1</v>
      </c>
      <c r="E36" s="13">
        <f>+E33</f>
        <v>18</v>
      </c>
      <c r="F36" s="13">
        <v>3000</v>
      </c>
      <c r="G36" s="13">
        <f t="shared" si="0"/>
        <v>54000</v>
      </c>
    </row>
    <row r="37" spans="1:7" ht="15" customHeight="1">
      <c r="A37" s="104" t="s">
        <v>167</v>
      </c>
      <c r="B37" s="14" t="s">
        <v>264</v>
      </c>
      <c r="C37" s="17" t="s">
        <v>18</v>
      </c>
      <c r="D37" s="106">
        <v>2</v>
      </c>
      <c r="E37" s="13">
        <f>+E36</f>
        <v>18</v>
      </c>
      <c r="F37" s="19">
        <v>1500</v>
      </c>
      <c r="G37" s="19">
        <f t="shared" si="0"/>
        <v>54000</v>
      </c>
    </row>
    <row r="38" spans="1:7" ht="15" customHeight="1">
      <c r="A38" s="104" t="s">
        <v>168</v>
      </c>
      <c r="B38" s="14" t="s">
        <v>329</v>
      </c>
      <c r="C38" s="17" t="s">
        <v>18</v>
      </c>
      <c r="D38" s="106">
        <v>2</v>
      </c>
      <c r="E38" s="19">
        <f>E39</f>
        <v>17</v>
      </c>
      <c r="F38" s="19">
        <v>1200</v>
      </c>
      <c r="G38" s="19">
        <f t="shared" si="0"/>
        <v>40800</v>
      </c>
    </row>
    <row r="39" spans="1:7" ht="15" customHeight="1">
      <c r="A39" s="104" t="s">
        <v>169</v>
      </c>
      <c r="B39" s="14" t="s">
        <v>331</v>
      </c>
      <c r="C39" s="11" t="s">
        <v>18</v>
      </c>
      <c r="D39" s="105">
        <v>12</v>
      </c>
      <c r="E39" s="13">
        <f>+E34</f>
        <v>17</v>
      </c>
      <c r="F39" s="13">
        <v>1200</v>
      </c>
      <c r="G39" s="13">
        <f t="shared" si="0"/>
        <v>244800</v>
      </c>
    </row>
    <row r="40" spans="1:7" ht="15" customHeight="1">
      <c r="A40" s="104" t="s">
        <v>174</v>
      </c>
      <c r="B40" s="14" t="s">
        <v>332</v>
      </c>
      <c r="C40" s="17" t="s">
        <v>18</v>
      </c>
      <c r="D40" s="106">
        <v>9</v>
      </c>
      <c r="E40" s="19">
        <f>+E35</f>
        <v>17</v>
      </c>
      <c r="F40" s="19">
        <v>1200</v>
      </c>
      <c r="G40" s="19">
        <f t="shared" si="0"/>
        <v>183600</v>
      </c>
    </row>
    <row r="41" spans="1:7" ht="15" customHeight="1">
      <c r="A41" s="104" t="s">
        <v>219</v>
      </c>
      <c r="B41" s="14" t="s">
        <v>330</v>
      </c>
      <c r="C41" s="17" t="s">
        <v>18</v>
      </c>
      <c r="D41" s="106">
        <v>3</v>
      </c>
      <c r="E41" s="19">
        <f>+E39</f>
        <v>17</v>
      </c>
      <c r="F41" s="19">
        <v>1200</v>
      </c>
      <c r="G41" s="19">
        <f t="shared" si="0"/>
        <v>61200</v>
      </c>
    </row>
    <row r="42" spans="1:7" ht="15" customHeight="1">
      <c r="A42" s="104" t="s">
        <v>223</v>
      </c>
      <c r="B42" s="14" t="s">
        <v>327</v>
      </c>
      <c r="C42" s="17" t="s">
        <v>18</v>
      </c>
      <c r="D42" s="106">
        <v>12</v>
      </c>
      <c r="E42" s="19">
        <f>+E60</f>
        <v>18</v>
      </c>
      <c r="F42" s="19">
        <v>900</v>
      </c>
      <c r="G42" s="19">
        <f t="shared" si="0"/>
        <v>194400</v>
      </c>
    </row>
    <row r="43" spans="1:7" ht="15" customHeight="1">
      <c r="A43" s="104"/>
      <c r="B43" s="14" t="s">
        <v>75</v>
      </c>
      <c r="C43" s="17" t="s">
        <v>57</v>
      </c>
      <c r="D43" s="106">
        <v>1</v>
      </c>
      <c r="E43" s="107">
        <f>+FIJOS!E68</f>
        <v>0.49</v>
      </c>
      <c r="F43" s="19">
        <f>SUM(G19:G42)</f>
        <v>3158100</v>
      </c>
      <c r="G43" s="19">
        <f>ROUND(F43*E43,2)</f>
        <v>1547469</v>
      </c>
    </row>
    <row r="44" spans="1:7" ht="15" customHeight="1">
      <c r="A44" s="104"/>
      <c r="B44" s="14" t="s">
        <v>234</v>
      </c>
      <c r="C44" s="17"/>
      <c r="D44" s="106"/>
      <c r="E44" s="19"/>
      <c r="F44" s="19"/>
      <c r="G44" s="15">
        <f>SUM(G19:G43)</f>
        <v>4705569</v>
      </c>
    </row>
    <row r="45" spans="1:7" ht="15" customHeight="1">
      <c r="A45" s="104"/>
      <c r="B45" s="16" t="s">
        <v>233</v>
      </c>
      <c r="C45" s="17"/>
      <c r="D45" s="106"/>
      <c r="E45" s="19"/>
      <c r="F45" s="19"/>
      <c r="G45" s="19"/>
    </row>
    <row r="46" spans="1:7" ht="15" customHeight="1">
      <c r="A46" s="104" t="s">
        <v>416</v>
      </c>
      <c r="B46" s="14" t="s">
        <v>319</v>
      </c>
      <c r="C46" s="17" t="s">
        <v>18</v>
      </c>
      <c r="D46" s="106">
        <v>1</v>
      </c>
      <c r="E46" s="19">
        <f>+D11</f>
        <v>18</v>
      </c>
      <c r="F46" s="19">
        <v>4500</v>
      </c>
      <c r="G46" s="19">
        <f aca="true" t="shared" si="1" ref="G46:G60">ROUND(F46*E46*D46,2)</f>
        <v>81000</v>
      </c>
    </row>
    <row r="47" spans="1:7" ht="15" customHeight="1">
      <c r="A47" s="104" t="s">
        <v>239</v>
      </c>
      <c r="B47" s="14" t="s">
        <v>320</v>
      </c>
      <c r="C47" s="17" t="s">
        <v>18</v>
      </c>
      <c r="D47" s="106">
        <v>1</v>
      </c>
      <c r="E47" s="19">
        <f>+E46</f>
        <v>18</v>
      </c>
      <c r="F47" s="19">
        <v>3500</v>
      </c>
      <c r="G47" s="19">
        <f t="shared" si="1"/>
        <v>63000</v>
      </c>
    </row>
    <row r="48" spans="1:7" ht="15" customHeight="1">
      <c r="A48" s="104" t="s">
        <v>240</v>
      </c>
      <c r="B48" s="14" t="s">
        <v>486</v>
      </c>
      <c r="C48" s="17" t="s">
        <v>18</v>
      </c>
      <c r="D48" s="106">
        <v>1</v>
      </c>
      <c r="E48" s="19">
        <f>+E47</f>
        <v>18</v>
      </c>
      <c r="F48" s="19">
        <v>3500</v>
      </c>
      <c r="G48" s="19">
        <f t="shared" si="1"/>
        <v>63000</v>
      </c>
    </row>
    <row r="49" spans="1:7" ht="15" customHeight="1">
      <c r="A49" s="104" t="s">
        <v>246</v>
      </c>
      <c r="B49" s="14" t="s">
        <v>487</v>
      </c>
      <c r="C49" s="17" t="s">
        <v>18</v>
      </c>
      <c r="D49" s="106">
        <v>1</v>
      </c>
      <c r="E49" s="19">
        <f>+E48</f>
        <v>18</v>
      </c>
      <c r="F49" s="19">
        <v>3500</v>
      </c>
      <c r="G49" s="19">
        <f t="shared" si="1"/>
        <v>63000</v>
      </c>
    </row>
    <row r="50" spans="1:7" ht="15" customHeight="1">
      <c r="A50" s="104" t="s">
        <v>247</v>
      </c>
      <c r="B50" s="14" t="s">
        <v>236</v>
      </c>
      <c r="C50" s="17" t="s">
        <v>18</v>
      </c>
      <c r="D50" s="106">
        <v>1</v>
      </c>
      <c r="E50" s="19">
        <f>+E53</f>
        <v>18</v>
      </c>
      <c r="F50" s="19">
        <v>3000</v>
      </c>
      <c r="G50" s="19">
        <f t="shared" si="1"/>
        <v>54000</v>
      </c>
    </row>
    <row r="51" spans="1:7" ht="15" customHeight="1">
      <c r="A51" s="104" t="s">
        <v>248</v>
      </c>
      <c r="B51" s="14" t="s">
        <v>237</v>
      </c>
      <c r="C51" s="17" t="s">
        <v>18</v>
      </c>
      <c r="D51" s="106">
        <v>1</v>
      </c>
      <c r="E51" s="19">
        <f>+E50</f>
        <v>18</v>
      </c>
      <c r="F51" s="19">
        <v>3000</v>
      </c>
      <c r="G51" s="19">
        <f t="shared" si="1"/>
        <v>54000</v>
      </c>
    </row>
    <row r="52" spans="1:7" ht="15" customHeight="1">
      <c r="A52" s="104" t="s">
        <v>249</v>
      </c>
      <c r="B52" s="14" t="s">
        <v>238</v>
      </c>
      <c r="C52" s="17" t="s">
        <v>18</v>
      </c>
      <c r="D52" s="106">
        <v>1</v>
      </c>
      <c r="E52" s="19">
        <f>+E51</f>
        <v>18</v>
      </c>
      <c r="F52" s="19">
        <v>2400</v>
      </c>
      <c r="G52" s="19">
        <f t="shared" si="1"/>
        <v>43200</v>
      </c>
    </row>
    <row r="53" spans="1:7" ht="15" customHeight="1">
      <c r="A53" s="104" t="s">
        <v>250</v>
      </c>
      <c r="B53" s="14" t="s">
        <v>235</v>
      </c>
      <c r="C53" s="17" t="s">
        <v>18</v>
      </c>
      <c r="D53" s="106">
        <v>1</v>
      </c>
      <c r="E53" s="19">
        <f>+E47</f>
        <v>18</v>
      </c>
      <c r="F53" s="19">
        <v>2400</v>
      </c>
      <c r="G53" s="19">
        <f>ROUND(F53*E53*D53,2)</f>
        <v>43200</v>
      </c>
    </row>
    <row r="54" spans="1:7" ht="15" customHeight="1">
      <c r="A54" s="104" t="s">
        <v>251</v>
      </c>
      <c r="B54" s="14" t="s">
        <v>322</v>
      </c>
      <c r="C54" s="17" t="s">
        <v>18</v>
      </c>
      <c r="D54" s="106">
        <v>1</v>
      </c>
      <c r="E54" s="19">
        <f>+E53</f>
        <v>18</v>
      </c>
      <c r="F54" s="19">
        <v>1200</v>
      </c>
      <c r="G54" s="19">
        <f>ROUND(F54*E54*D54,2)</f>
        <v>21600</v>
      </c>
    </row>
    <row r="55" spans="1:7" ht="15" customHeight="1">
      <c r="A55" s="104" t="s">
        <v>252</v>
      </c>
      <c r="B55" s="14" t="s">
        <v>321</v>
      </c>
      <c r="C55" s="17" t="s">
        <v>18</v>
      </c>
      <c r="D55" s="106">
        <v>1</v>
      </c>
      <c r="E55" s="19">
        <f aca="true" t="shared" si="2" ref="E55:E60">+E54</f>
        <v>18</v>
      </c>
      <c r="F55" s="19">
        <v>1200</v>
      </c>
      <c r="G55" s="19">
        <f>ROUND(F55*E55*D55,2)</f>
        <v>21600</v>
      </c>
    </row>
    <row r="56" spans="1:7" ht="15" customHeight="1">
      <c r="A56" s="104" t="s">
        <v>253</v>
      </c>
      <c r="B56" s="14" t="s">
        <v>326</v>
      </c>
      <c r="C56" s="17" t="s">
        <v>18</v>
      </c>
      <c r="D56" s="106">
        <v>1</v>
      </c>
      <c r="E56" s="19">
        <f t="shared" si="2"/>
        <v>18</v>
      </c>
      <c r="F56" s="19">
        <v>1200</v>
      </c>
      <c r="G56" s="19">
        <f>ROUND(F56*E56*D56,2)</f>
        <v>21600</v>
      </c>
    </row>
    <row r="57" spans="1:7" ht="15" customHeight="1">
      <c r="A57" s="104" t="s">
        <v>256</v>
      </c>
      <c r="B57" s="14" t="s">
        <v>325</v>
      </c>
      <c r="C57" s="17" t="s">
        <v>18</v>
      </c>
      <c r="D57" s="106">
        <v>1</v>
      </c>
      <c r="E57" s="19">
        <f t="shared" si="2"/>
        <v>18</v>
      </c>
      <c r="F57" s="19">
        <v>1200</v>
      </c>
      <c r="G57" s="19">
        <f t="shared" si="1"/>
        <v>21600</v>
      </c>
    </row>
    <row r="58" spans="1:7" ht="15" customHeight="1">
      <c r="A58" s="104" t="s">
        <v>267</v>
      </c>
      <c r="B58" s="14" t="s">
        <v>324</v>
      </c>
      <c r="C58" s="17" t="s">
        <v>18</v>
      </c>
      <c r="D58" s="106">
        <v>1</v>
      </c>
      <c r="E58" s="19">
        <f t="shared" si="2"/>
        <v>18</v>
      </c>
      <c r="F58" s="19">
        <v>800</v>
      </c>
      <c r="G58" s="19">
        <f t="shared" si="1"/>
        <v>14400</v>
      </c>
    </row>
    <row r="59" spans="1:7" ht="15" customHeight="1">
      <c r="A59" s="104" t="s">
        <v>277</v>
      </c>
      <c r="B59" s="14" t="s">
        <v>323</v>
      </c>
      <c r="C59" s="17" t="s">
        <v>18</v>
      </c>
      <c r="D59" s="106">
        <v>1</v>
      </c>
      <c r="E59" s="19">
        <f t="shared" si="2"/>
        <v>18</v>
      </c>
      <c r="F59" s="19">
        <v>800</v>
      </c>
      <c r="G59" s="19">
        <f t="shared" si="1"/>
        <v>14400</v>
      </c>
    </row>
    <row r="60" spans="1:7" ht="15" customHeight="1">
      <c r="A60" s="104" t="s">
        <v>278</v>
      </c>
      <c r="B60" s="14" t="s">
        <v>328</v>
      </c>
      <c r="C60" s="17" t="s">
        <v>18</v>
      </c>
      <c r="D60" s="106">
        <v>21</v>
      </c>
      <c r="E60" s="19">
        <f t="shared" si="2"/>
        <v>18</v>
      </c>
      <c r="F60" s="19">
        <v>900</v>
      </c>
      <c r="G60" s="19">
        <f t="shared" si="1"/>
        <v>340200</v>
      </c>
    </row>
    <row r="61" spans="1:7" ht="15" customHeight="1">
      <c r="A61" s="104"/>
      <c r="B61" s="14" t="s">
        <v>75</v>
      </c>
      <c r="C61" s="17" t="s">
        <v>57</v>
      </c>
      <c r="D61" s="106">
        <v>1</v>
      </c>
      <c r="E61" s="107">
        <f>+FIJOS!E68</f>
        <v>0.49</v>
      </c>
      <c r="F61" s="19">
        <f>SUM(G46:G60)</f>
        <v>919800</v>
      </c>
      <c r="G61" s="19">
        <f>ROUND(F61*E61,2)</f>
        <v>450702</v>
      </c>
    </row>
    <row r="62" spans="2:7" ht="15" customHeight="1">
      <c r="B62" s="14" t="s">
        <v>234</v>
      </c>
      <c r="C62" s="17"/>
      <c r="D62" s="106"/>
      <c r="E62" s="19"/>
      <c r="F62" s="19"/>
      <c r="G62" s="15">
        <f>SUM(G46:G61)</f>
        <v>1370502</v>
      </c>
    </row>
    <row r="63" spans="1:7" ht="15" customHeight="1">
      <c r="A63" s="24"/>
      <c r="B63" s="16" t="s">
        <v>70</v>
      </c>
      <c r="C63" s="17"/>
      <c r="D63" s="106"/>
      <c r="E63" s="19"/>
      <c r="F63" s="19"/>
      <c r="G63" s="19"/>
    </row>
    <row r="64" spans="1:7" ht="15" customHeight="1">
      <c r="A64" s="24" t="s">
        <v>417</v>
      </c>
      <c r="B64" s="14" t="s">
        <v>313</v>
      </c>
      <c r="C64" s="17" t="s">
        <v>18</v>
      </c>
      <c r="D64" s="106">
        <v>1</v>
      </c>
      <c r="E64" s="19">
        <f>+D11/3</f>
        <v>6</v>
      </c>
      <c r="F64" s="19">
        <v>6000</v>
      </c>
      <c r="G64" s="19">
        <f aca="true" t="shared" si="3" ref="G64:G73">ROUND(F64*E64*D64,2)</f>
        <v>36000</v>
      </c>
    </row>
    <row r="65" spans="1:7" ht="15" customHeight="1">
      <c r="A65" s="24" t="s">
        <v>418</v>
      </c>
      <c r="B65" s="14" t="s">
        <v>312</v>
      </c>
      <c r="C65" s="17" t="s">
        <v>18</v>
      </c>
      <c r="D65" s="106">
        <v>1</v>
      </c>
      <c r="E65" s="19">
        <f>+D11</f>
        <v>18</v>
      </c>
      <c r="F65" s="19">
        <v>6000</v>
      </c>
      <c r="G65" s="19">
        <f t="shared" si="3"/>
        <v>108000</v>
      </c>
    </row>
    <row r="66" spans="1:7" ht="15" customHeight="1">
      <c r="A66" s="24" t="s">
        <v>419</v>
      </c>
      <c r="B66" s="14" t="s">
        <v>316</v>
      </c>
      <c r="C66" s="17" t="s">
        <v>18</v>
      </c>
      <c r="D66" s="106">
        <v>1</v>
      </c>
      <c r="E66" s="19">
        <f>+D11</f>
        <v>18</v>
      </c>
      <c r="F66" s="19">
        <v>4000</v>
      </c>
      <c r="G66" s="19">
        <f>ROUND(F66*E66*D66,2)</f>
        <v>72000</v>
      </c>
    </row>
    <row r="67" spans="1:7" ht="15" customHeight="1">
      <c r="A67" s="24" t="s">
        <v>420</v>
      </c>
      <c r="B67" s="14" t="s">
        <v>314</v>
      </c>
      <c r="C67" s="17" t="s">
        <v>18</v>
      </c>
      <c r="D67" s="106">
        <v>1</v>
      </c>
      <c r="E67" s="19">
        <f>+E65</f>
        <v>18</v>
      </c>
      <c r="F67" s="19">
        <v>3000</v>
      </c>
      <c r="G67" s="19">
        <f t="shared" si="3"/>
        <v>54000</v>
      </c>
    </row>
    <row r="68" spans="1:7" ht="15" customHeight="1">
      <c r="A68" s="24" t="s">
        <v>421</v>
      </c>
      <c r="B68" s="14" t="s">
        <v>315</v>
      </c>
      <c r="C68" s="17" t="s">
        <v>18</v>
      </c>
      <c r="D68" s="106">
        <v>1</v>
      </c>
      <c r="E68" s="19">
        <f>+E66</f>
        <v>18</v>
      </c>
      <c r="F68" s="19">
        <v>3000</v>
      </c>
      <c r="G68" s="19">
        <f>ROUND(F68*E68*D68,2)</f>
        <v>54000</v>
      </c>
    </row>
    <row r="69" spans="1:7" ht="15" customHeight="1">
      <c r="A69" s="24" t="s">
        <v>422</v>
      </c>
      <c r="B69" s="14" t="s">
        <v>241</v>
      </c>
      <c r="C69" s="17" t="s">
        <v>18</v>
      </c>
      <c r="D69" s="106">
        <v>1</v>
      </c>
      <c r="E69" s="19">
        <f>+E67</f>
        <v>18</v>
      </c>
      <c r="F69" s="19">
        <v>1500</v>
      </c>
      <c r="G69" s="19">
        <f t="shared" si="3"/>
        <v>27000</v>
      </c>
    </row>
    <row r="70" spans="1:7" ht="15" customHeight="1">
      <c r="A70" s="24" t="s">
        <v>423</v>
      </c>
      <c r="B70" s="14" t="s">
        <v>242</v>
      </c>
      <c r="C70" s="17" t="s">
        <v>18</v>
      </c>
      <c r="D70" s="106">
        <v>1</v>
      </c>
      <c r="E70" s="19">
        <f>+E69</f>
        <v>18</v>
      </c>
      <c r="F70" s="19">
        <v>1500</v>
      </c>
      <c r="G70" s="19">
        <f t="shared" si="3"/>
        <v>27000</v>
      </c>
    </row>
    <row r="71" spans="1:7" ht="15" customHeight="1">
      <c r="A71" s="24" t="s">
        <v>424</v>
      </c>
      <c r="B71" s="14" t="s">
        <v>245</v>
      </c>
      <c r="C71" s="17" t="s">
        <v>18</v>
      </c>
      <c r="D71" s="106">
        <v>1</v>
      </c>
      <c r="E71" s="19">
        <f>+E73</f>
        <v>18</v>
      </c>
      <c r="F71" s="19">
        <v>1500</v>
      </c>
      <c r="G71" s="19">
        <f>ROUND(F71*E71*D71,2)</f>
        <v>27000</v>
      </c>
    </row>
    <row r="72" spans="1:7" ht="15" customHeight="1">
      <c r="A72" s="24" t="s">
        <v>425</v>
      </c>
      <c r="B72" s="14" t="s">
        <v>243</v>
      </c>
      <c r="C72" s="17" t="s">
        <v>18</v>
      </c>
      <c r="D72" s="106">
        <v>1</v>
      </c>
      <c r="E72" s="19">
        <f>+E70</f>
        <v>18</v>
      </c>
      <c r="F72" s="19">
        <v>1200</v>
      </c>
      <c r="G72" s="19">
        <f t="shared" si="3"/>
        <v>21600</v>
      </c>
    </row>
    <row r="73" spans="1:7" ht="15" customHeight="1">
      <c r="A73" s="24" t="s">
        <v>488</v>
      </c>
      <c r="B73" s="14" t="s">
        <v>244</v>
      </c>
      <c r="C73" s="17" t="s">
        <v>18</v>
      </c>
      <c r="D73" s="106">
        <v>1</v>
      </c>
      <c r="E73" s="19">
        <f>+E72</f>
        <v>18</v>
      </c>
      <c r="F73" s="19">
        <v>1200</v>
      </c>
      <c r="G73" s="19">
        <f t="shared" si="3"/>
        <v>21600</v>
      </c>
    </row>
    <row r="74" spans="1:7" ht="15" customHeight="1">
      <c r="A74" s="24" t="s">
        <v>489</v>
      </c>
      <c r="B74" s="14" t="s">
        <v>317</v>
      </c>
      <c r="C74" s="17" t="s">
        <v>18</v>
      </c>
      <c r="D74" s="106">
        <v>7</v>
      </c>
      <c r="E74" s="19">
        <f>+E71</f>
        <v>18</v>
      </c>
      <c r="F74" s="19">
        <v>900</v>
      </c>
      <c r="G74" s="19">
        <f>ROUND(F74*E74*D74,2)</f>
        <v>113400</v>
      </c>
    </row>
    <row r="75" spans="1:7" ht="15" customHeight="1">
      <c r="A75" s="24"/>
      <c r="B75" s="14" t="s">
        <v>75</v>
      </c>
      <c r="C75" s="17" t="s">
        <v>57</v>
      </c>
      <c r="D75" s="106">
        <v>1</v>
      </c>
      <c r="E75" s="107">
        <f>+FIJOS!E68</f>
        <v>0.49</v>
      </c>
      <c r="F75" s="19">
        <f>SUM(G64:G74)</f>
        <v>561600</v>
      </c>
      <c r="G75" s="19">
        <f>ROUND(F75*E75,2)</f>
        <v>275184</v>
      </c>
    </row>
    <row r="76" spans="1:7" ht="15" customHeight="1">
      <c r="A76" s="21"/>
      <c r="B76" s="14" t="s">
        <v>234</v>
      </c>
      <c r="C76" s="17"/>
      <c r="D76" s="106"/>
      <c r="E76" s="19"/>
      <c r="F76" s="19"/>
      <c r="G76" s="15">
        <f>SUM(G64:G75)</f>
        <v>836784</v>
      </c>
    </row>
    <row r="77" spans="2:7" ht="18" customHeight="1">
      <c r="B77" s="16" t="s">
        <v>260</v>
      </c>
      <c r="C77" s="17"/>
      <c r="D77" s="18"/>
      <c r="E77" s="19"/>
      <c r="F77" s="19"/>
      <c r="G77" s="15">
        <f>+G44+G62+G76</f>
        <v>6912855</v>
      </c>
    </row>
    <row r="78" spans="2:7" ht="10.5" customHeight="1">
      <c r="B78" s="16"/>
      <c r="C78" s="17"/>
      <c r="D78" s="18"/>
      <c r="E78" s="19"/>
      <c r="F78" s="19"/>
      <c r="G78" s="15"/>
    </row>
    <row r="79" spans="1:7" ht="18" customHeight="1">
      <c r="A79" s="103" t="s">
        <v>140</v>
      </c>
      <c r="B79" s="16" t="s">
        <v>261</v>
      </c>
      <c r="C79" s="17"/>
      <c r="D79" s="18"/>
      <c r="E79" s="19"/>
      <c r="F79" s="19"/>
      <c r="G79" s="19"/>
    </row>
    <row r="80" spans="1:7" ht="18" customHeight="1">
      <c r="A80" s="24" t="s">
        <v>141</v>
      </c>
      <c r="B80" s="21" t="s">
        <v>32</v>
      </c>
      <c r="C80" s="17" t="s">
        <v>18</v>
      </c>
      <c r="D80" s="22">
        <v>1</v>
      </c>
      <c r="E80" s="19">
        <v>1</v>
      </c>
      <c r="F80" s="19">
        <f>+alimentacion!G36</f>
        <v>189696</v>
      </c>
      <c r="G80" s="19">
        <f>ROUND(F80*E80*D80,2)</f>
        <v>189696</v>
      </c>
    </row>
    <row r="81" spans="1:7" ht="18" customHeight="1">
      <c r="A81" s="24" t="s">
        <v>142</v>
      </c>
      <c r="B81" s="21" t="s">
        <v>173</v>
      </c>
      <c r="C81" s="17" t="s">
        <v>18</v>
      </c>
      <c r="D81" s="22">
        <v>1</v>
      </c>
      <c r="E81" s="19">
        <v>1</v>
      </c>
      <c r="F81" s="19">
        <f>+alimentacion!G65</f>
        <v>807120</v>
      </c>
      <c r="G81" s="19">
        <f>ROUND(F81*E81*D81,2)</f>
        <v>807120</v>
      </c>
    </row>
    <row r="82" spans="1:7" ht="18" customHeight="1">
      <c r="A82" s="24" t="s">
        <v>143</v>
      </c>
      <c r="B82" s="21" t="s">
        <v>397</v>
      </c>
      <c r="C82" s="17" t="s">
        <v>18</v>
      </c>
      <c r="D82" s="22">
        <v>1</v>
      </c>
      <c r="E82" s="19">
        <v>1</v>
      </c>
      <c r="F82" s="19">
        <f>+alimentacion!G84</f>
        <v>444960</v>
      </c>
      <c r="G82" s="19">
        <f>ROUND(F82*E82*D82,2)</f>
        <v>444960</v>
      </c>
    </row>
    <row r="83" spans="2:7" ht="18" customHeight="1">
      <c r="B83" s="16" t="s">
        <v>177</v>
      </c>
      <c r="C83" s="17"/>
      <c r="D83" s="22"/>
      <c r="E83" s="19"/>
      <c r="F83" s="19"/>
      <c r="G83" s="15">
        <f>SUM(G80:G82)</f>
        <v>1441776</v>
      </c>
    </row>
    <row r="84" spans="2:7" ht="12" customHeight="1">
      <c r="B84" s="16"/>
      <c r="C84" s="17"/>
      <c r="D84" s="18"/>
      <c r="E84" s="19"/>
      <c r="F84" s="19"/>
      <c r="G84" s="15"/>
    </row>
    <row r="85" spans="1:7" ht="18" customHeight="1">
      <c r="A85" s="108" t="s">
        <v>145</v>
      </c>
      <c r="B85" s="16" t="s">
        <v>33</v>
      </c>
      <c r="C85" s="17"/>
      <c r="D85" s="22"/>
      <c r="E85" s="19"/>
      <c r="F85" s="19"/>
      <c r="G85" s="19"/>
    </row>
    <row r="86" spans="1:7" ht="15" customHeight="1">
      <c r="A86" s="24" t="s">
        <v>146</v>
      </c>
      <c r="B86" s="21" t="s">
        <v>342</v>
      </c>
      <c r="C86" s="17" t="s">
        <v>18</v>
      </c>
      <c r="D86" s="22">
        <v>1</v>
      </c>
      <c r="E86" s="19">
        <f>+D11</f>
        <v>18</v>
      </c>
      <c r="F86" s="19">
        <v>2000</v>
      </c>
      <c r="G86" s="19">
        <f aca="true" t="shared" si="4" ref="G86:G101">ROUND(F86*E86*D86,2)</f>
        <v>36000</v>
      </c>
    </row>
    <row r="87" spans="1:7" ht="15" customHeight="1">
      <c r="A87" s="24" t="s">
        <v>147</v>
      </c>
      <c r="B87" s="21" t="s">
        <v>343</v>
      </c>
      <c r="C87" s="17" t="s">
        <v>18</v>
      </c>
      <c r="D87" s="22">
        <v>1</v>
      </c>
      <c r="E87" s="19">
        <f>+D11-2</f>
        <v>16</v>
      </c>
      <c r="F87" s="19">
        <v>2000</v>
      </c>
      <c r="G87" s="19">
        <f t="shared" si="4"/>
        <v>32000</v>
      </c>
    </row>
    <row r="88" spans="1:7" ht="15" customHeight="1">
      <c r="A88" s="24" t="s">
        <v>148</v>
      </c>
      <c r="B88" s="21" t="s">
        <v>344</v>
      </c>
      <c r="C88" s="17" t="s">
        <v>18</v>
      </c>
      <c r="D88" s="22">
        <v>1</v>
      </c>
      <c r="E88" s="19">
        <f>+D11/2</f>
        <v>9</v>
      </c>
      <c r="F88" s="19">
        <v>2500</v>
      </c>
      <c r="G88" s="19">
        <f t="shared" si="4"/>
        <v>22500</v>
      </c>
    </row>
    <row r="89" spans="1:7" ht="15" customHeight="1">
      <c r="A89" s="24" t="s">
        <v>149</v>
      </c>
      <c r="B89" s="21" t="s">
        <v>254</v>
      </c>
      <c r="C89" s="17" t="s">
        <v>18</v>
      </c>
      <c r="D89" s="22">
        <v>2</v>
      </c>
      <c r="E89" s="19">
        <f>+D11-2</f>
        <v>16</v>
      </c>
      <c r="F89" s="19">
        <v>1800</v>
      </c>
      <c r="G89" s="19">
        <f t="shared" si="4"/>
        <v>57600</v>
      </c>
    </row>
    <row r="90" spans="1:7" ht="15" customHeight="1">
      <c r="A90" s="24" t="s">
        <v>150</v>
      </c>
      <c r="B90" s="21" t="s">
        <v>350</v>
      </c>
      <c r="C90" s="17" t="s">
        <v>18</v>
      </c>
      <c r="D90" s="22">
        <v>1</v>
      </c>
      <c r="E90" s="19">
        <f>+D11</f>
        <v>18</v>
      </c>
      <c r="F90" s="19">
        <v>1000</v>
      </c>
      <c r="G90" s="19">
        <f t="shared" si="4"/>
        <v>18000</v>
      </c>
    </row>
    <row r="91" spans="1:7" ht="15" customHeight="1">
      <c r="A91" s="24" t="s">
        <v>151</v>
      </c>
      <c r="B91" s="21" t="s">
        <v>341</v>
      </c>
      <c r="C91" s="17" t="s">
        <v>18</v>
      </c>
      <c r="D91" s="22">
        <v>3</v>
      </c>
      <c r="E91" s="19">
        <v>17</v>
      </c>
      <c r="F91" s="19">
        <v>2250</v>
      </c>
      <c r="G91" s="19">
        <f t="shared" si="4"/>
        <v>114750</v>
      </c>
    </row>
    <row r="92" spans="1:7" ht="15" customHeight="1">
      <c r="A92" s="24" t="s">
        <v>152</v>
      </c>
      <c r="B92" s="21" t="s">
        <v>340</v>
      </c>
      <c r="C92" s="17" t="s">
        <v>18</v>
      </c>
      <c r="D92" s="22">
        <v>2</v>
      </c>
      <c r="E92" s="19">
        <v>16</v>
      </c>
      <c r="F92" s="19">
        <v>500</v>
      </c>
      <c r="G92" s="19">
        <f t="shared" si="4"/>
        <v>16000</v>
      </c>
    </row>
    <row r="93" spans="1:7" ht="15" customHeight="1">
      <c r="A93" s="24" t="s">
        <v>153</v>
      </c>
      <c r="B93" s="21" t="s">
        <v>345</v>
      </c>
      <c r="C93" s="17" t="s">
        <v>18</v>
      </c>
      <c r="D93" s="22">
        <v>12</v>
      </c>
      <c r="E93" s="19">
        <f>+D11</f>
        <v>18</v>
      </c>
      <c r="F93" s="19">
        <v>350</v>
      </c>
      <c r="G93" s="19">
        <f t="shared" si="4"/>
        <v>75600</v>
      </c>
    </row>
    <row r="94" spans="1:7" ht="15" customHeight="1">
      <c r="A94" s="24" t="s">
        <v>154</v>
      </c>
      <c r="B94" s="21" t="s">
        <v>346</v>
      </c>
      <c r="C94" s="17" t="s">
        <v>18</v>
      </c>
      <c r="D94" s="22">
        <v>2</v>
      </c>
      <c r="E94" s="19">
        <f>+D11</f>
        <v>18</v>
      </c>
      <c r="F94" s="19">
        <v>150</v>
      </c>
      <c r="G94" s="19">
        <f t="shared" si="4"/>
        <v>5400</v>
      </c>
    </row>
    <row r="95" spans="1:7" ht="15" customHeight="1">
      <c r="A95" s="24" t="s">
        <v>217</v>
      </c>
      <c r="B95" s="21" t="s">
        <v>347</v>
      </c>
      <c r="C95" s="17" t="s">
        <v>18</v>
      </c>
      <c r="D95" s="22">
        <v>2</v>
      </c>
      <c r="E95" s="19">
        <f>+D11</f>
        <v>18</v>
      </c>
      <c r="F95" s="19">
        <v>150</v>
      </c>
      <c r="G95" s="19">
        <f t="shared" si="4"/>
        <v>5400</v>
      </c>
    </row>
    <row r="96" spans="1:7" ht="15" customHeight="1">
      <c r="A96" s="24" t="s">
        <v>224</v>
      </c>
      <c r="B96" s="21" t="s">
        <v>500</v>
      </c>
      <c r="C96" s="17" t="s">
        <v>18</v>
      </c>
      <c r="D96" s="22">
        <v>1</v>
      </c>
      <c r="E96" s="19">
        <f>+D11</f>
        <v>18</v>
      </c>
      <c r="F96" s="19">
        <v>300</v>
      </c>
      <c r="G96" s="19">
        <f t="shared" si="4"/>
        <v>5400</v>
      </c>
    </row>
    <row r="97" spans="1:7" ht="15" customHeight="1">
      <c r="A97" s="24" t="s">
        <v>255</v>
      </c>
      <c r="B97" s="21" t="s">
        <v>358</v>
      </c>
      <c r="C97" s="17" t="s">
        <v>18</v>
      </c>
      <c r="D97" s="22">
        <v>1</v>
      </c>
      <c r="E97" s="19">
        <f>+D11</f>
        <v>18</v>
      </c>
      <c r="F97" s="19">
        <f>125*30</f>
        <v>3750</v>
      </c>
      <c r="G97" s="19">
        <f t="shared" si="4"/>
        <v>67500</v>
      </c>
    </row>
    <row r="98" spans="1:7" ht="15" customHeight="1">
      <c r="A98" s="109" t="s">
        <v>306</v>
      </c>
      <c r="B98" s="10" t="s">
        <v>308</v>
      </c>
      <c r="C98" s="17" t="s">
        <v>18</v>
      </c>
      <c r="D98" s="22">
        <v>1</v>
      </c>
      <c r="E98" s="19">
        <f>+D11</f>
        <v>18</v>
      </c>
      <c r="F98" s="19">
        <v>700</v>
      </c>
      <c r="G98" s="19">
        <f t="shared" si="4"/>
        <v>12600</v>
      </c>
    </row>
    <row r="99" spans="1:7" ht="15" customHeight="1">
      <c r="A99" s="109" t="s">
        <v>307</v>
      </c>
      <c r="B99" s="10" t="s">
        <v>381</v>
      </c>
      <c r="C99" s="17" t="s">
        <v>18</v>
      </c>
      <c r="D99" s="22">
        <v>1</v>
      </c>
      <c r="E99" s="19">
        <f>+D11</f>
        <v>18</v>
      </c>
      <c r="F99" s="19">
        <v>500</v>
      </c>
      <c r="G99" s="19">
        <f>ROUND(F99*E99*D99,2)</f>
        <v>9000</v>
      </c>
    </row>
    <row r="100" spans="1:7" ht="15" customHeight="1">
      <c r="A100" s="24" t="s">
        <v>382</v>
      </c>
      <c r="B100" s="21" t="s">
        <v>352</v>
      </c>
      <c r="C100" s="17" t="s">
        <v>18</v>
      </c>
      <c r="D100" s="22">
        <v>1</v>
      </c>
      <c r="E100" s="19">
        <f>+D11</f>
        <v>18</v>
      </c>
      <c r="F100" s="19">
        <v>300</v>
      </c>
      <c r="G100" s="19">
        <f t="shared" si="4"/>
        <v>5400</v>
      </c>
    </row>
    <row r="101" spans="1:7" ht="15" customHeight="1">
      <c r="A101" s="24" t="s">
        <v>383</v>
      </c>
      <c r="B101" s="21" t="s">
        <v>353</v>
      </c>
      <c r="C101" s="17" t="s">
        <v>18</v>
      </c>
      <c r="D101" s="22">
        <v>1</v>
      </c>
      <c r="E101" s="19">
        <f>+D11</f>
        <v>18</v>
      </c>
      <c r="F101" s="19">
        <v>200</v>
      </c>
      <c r="G101" s="19">
        <f t="shared" si="4"/>
        <v>3600</v>
      </c>
    </row>
    <row r="102" spans="1:7" ht="15" customHeight="1">
      <c r="A102" s="21"/>
      <c r="B102" s="16" t="s">
        <v>355</v>
      </c>
      <c r="C102" s="17"/>
      <c r="D102" s="22"/>
      <c r="E102" s="19"/>
      <c r="F102" s="19"/>
      <c r="G102" s="15">
        <f>SUM(G86:G101)</f>
        <v>486750</v>
      </c>
    </row>
    <row r="103" spans="1:7" ht="15" customHeight="1">
      <c r="A103" s="20" t="s">
        <v>356</v>
      </c>
      <c r="B103" s="21"/>
      <c r="C103" s="17"/>
      <c r="D103" s="22"/>
      <c r="E103" s="19"/>
      <c r="F103" s="19"/>
      <c r="G103" s="19"/>
    </row>
    <row r="104" spans="1:7" ht="16.5">
      <c r="A104" s="20"/>
      <c r="B104" s="21"/>
      <c r="C104" s="17"/>
      <c r="D104" s="22"/>
      <c r="E104" s="19"/>
      <c r="F104" s="19"/>
      <c r="G104" s="19"/>
    </row>
    <row r="105" spans="1:7" ht="15" customHeight="1">
      <c r="A105" s="108" t="s">
        <v>155</v>
      </c>
      <c r="B105" s="16" t="s">
        <v>351</v>
      </c>
      <c r="C105" s="17"/>
      <c r="D105" s="22"/>
      <c r="E105" s="19"/>
      <c r="F105" s="19"/>
      <c r="G105" s="19"/>
    </row>
    <row r="106" spans="1:8" ht="13.5" customHeight="1">
      <c r="A106" s="24" t="s">
        <v>156</v>
      </c>
      <c r="B106" s="21" t="s">
        <v>265</v>
      </c>
      <c r="C106" s="17" t="s">
        <v>18</v>
      </c>
      <c r="D106" s="22">
        <v>3</v>
      </c>
      <c r="E106" s="19">
        <f>+D11</f>
        <v>18</v>
      </c>
      <c r="F106" s="19">
        <v>7500</v>
      </c>
      <c r="G106" s="19">
        <f aca="true" t="shared" si="5" ref="G106:G114">ROUND(F106*E106*D106,2)</f>
        <v>405000</v>
      </c>
      <c r="H106" s="11"/>
    </row>
    <row r="107" spans="1:8" ht="13.5" customHeight="1">
      <c r="A107" s="24" t="s">
        <v>178</v>
      </c>
      <c r="B107" s="21" t="s">
        <v>479</v>
      </c>
      <c r="C107" s="17" t="s">
        <v>18</v>
      </c>
      <c r="D107" s="22">
        <v>1</v>
      </c>
      <c r="E107" s="19">
        <v>15</v>
      </c>
      <c r="F107" s="19">
        <v>7500</v>
      </c>
      <c r="G107" s="19">
        <f t="shared" si="5"/>
        <v>112500</v>
      </c>
      <c r="H107" s="11"/>
    </row>
    <row r="108" spans="1:8" ht="13.5" customHeight="1">
      <c r="A108" s="24" t="s">
        <v>179</v>
      </c>
      <c r="B108" s="21" t="s">
        <v>266</v>
      </c>
      <c r="C108" s="17" t="s">
        <v>18</v>
      </c>
      <c r="D108" s="22">
        <v>3</v>
      </c>
      <c r="E108" s="19">
        <f>+D11</f>
        <v>18</v>
      </c>
      <c r="F108" s="19">
        <v>6500</v>
      </c>
      <c r="G108" s="19">
        <f t="shared" si="5"/>
        <v>351000</v>
      </c>
      <c r="H108" s="11"/>
    </row>
    <row r="109" spans="1:8" ht="13.5" customHeight="1">
      <c r="A109" s="24" t="s">
        <v>396</v>
      </c>
      <c r="B109" s="21" t="s">
        <v>384</v>
      </c>
      <c r="C109" s="17" t="s">
        <v>18</v>
      </c>
      <c r="D109" s="22">
        <v>2</v>
      </c>
      <c r="E109" s="19">
        <f>+D11</f>
        <v>18</v>
      </c>
      <c r="F109" s="19">
        <v>7500</v>
      </c>
      <c r="G109" s="19">
        <f t="shared" si="5"/>
        <v>270000</v>
      </c>
      <c r="H109" s="11"/>
    </row>
    <row r="110" spans="1:8" ht="13.5" customHeight="1">
      <c r="A110" s="24" t="s">
        <v>408</v>
      </c>
      <c r="B110" s="21" t="s">
        <v>338</v>
      </c>
      <c r="C110" s="17" t="s">
        <v>18</v>
      </c>
      <c r="D110" s="22">
        <v>1</v>
      </c>
      <c r="E110" s="19">
        <f>+D11</f>
        <v>18</v>
      </c>
      <c r="F110" s="19">
        <v>10000</v>
      </c>
      <c r="G110" s="19">
        <f t="shared" si="5"/>
        <v>180000</v>
      </c>
      <c r="H110" s="11"/>
    </row>
    <row r="111" spans="1:8" ht="13.5" customHeight="1">
      <c r="A111" s="24" t="s">
        <v>409</v>
      </c>
      <c r="B111" s="21" t="s">
        <v>262</v>
      </c>
      <c r="C111" s="17" t="s">
        <v>18</v>
      </c>
      <c r="D111" s="22">
        <v>1</v>
      </c>
      <c r="E111" s="19">
        <f>+D11</f>
        <v>18</v>
      </c>
      <c r="F111" s="19">
        <v>12000</v>
      </c>
      <c r="G111" s="19">
        <f t="shared" si="5"/>
        <v>216000</v>
      </c>
      <c r="H111" s="11"/>
    </row>
    <row r="112" spans="1:8" ht="13.5" customHeight="1">
      <c r="A112" s="24" t="s">
        <v>410</v>
      </c>
      <c r="B112" s="21" t="s">
        <v>263</v>
      </c>
      <c r="C112" s="17" t="s">
        <v>18</v>
      </c>
      <c r="D112" s="22">
        <v>1</v>
      </c>
      <c r="E112" s="19">
        <f>+D11</f>
        <v>18</v>
      </c>
      <c r="F112" s="19">
        <v>12000</v>
      </c>
      <c r="G112" s="19">
        <f t="shared" si="5"/>
        <v>216000</v>
      </c>
      <c r="H112" s="11"/>
    </row>
    <row r="113" spans="1:8" ht="13.5" customHeight="1">
      <c r="A113" s="24" t="s">
        <v>411</v>
      </c>
      <c r="B113" s="21" t="s">
        <v>337</v>
      </c>
      <c r="C113" s="17" t="s">
        <v>18</v>
      </c>
      <c r="D113" s="22">
        <v>1</v>
      </c>
      <c r="E113" s="19">
        <f>+D11</f>
        <v>18</v>
      </c>
      <c r="F113" s="19">
        <v>15000</v>
      </c>
      <c r="G113" s="19">
        <f t="shared" si="5"/>
        <v>270000</v>
      </c>
      <c r="H113" s="11"/>
    </row>
    <row r="114" spans="1:8" ht="13.5" customHeight="1">
      <c r="A114" s="24" t="s">
        <v>412</v>
      </c>
      <c r="B114" s="21" t="s">
        <v>339</v>
      </c>
      <c r="C114" s="17" t="s">
        <v>18</v>
      </c>
      <c r="D114" s="22">
        <v>2</v>
      </c>
      <c r="E114" s="19">
        <f>+D11</f>
        <v>18</v>
      </c>
      <c r="F114" s="19">
        <v>7500</v>
      </c>
      <c r="G114" s="19">
        <f t="shared" si="5"/>
        <v>270000</v>
      </c>
      <c r="H114" s="11"/>
    </row>
    <row r="115" spans="1:8" ht="18" customHeight="1">
      <c r="A115" s="21"/>
      <c r="B115" s="16" t="s">
        <v>354</v>
      </c>
      <c r="C115" s="17"/>
      <c r="D115" s="110">
        <f>SUM(D106:D114)</f>
        <v>15</v>
      </c>
      <c r="E115" s="19"/>
      <c r="F115" s="19"/>
      <c r="G115" s="15">
        <f>SUM(G106:G114)</f>
        <v>2290500</v>
      </c>
      <c r="H115" s="23"/>
    </row>
    <row r="116" spans="1:7" ht="12" customHeight="1">
      <c r="A116" s="20" t="s">
        <v>357</v>
      </c>
      <c r="B116" s="16"/>
      <c r="C116" s="17"/>
      <c r="D116" s="22"/>
      <c r="E116" s="19"/>
      <c r="F116" s="19"/>
      <c r="G116" s="15"/>
    </row>
    <row r="117" spans="2:7" ht="7.5" customHeight="1">
      <c r="B117" s="21"/>
      <c r="C117" s="21"/>
      <c r="D117" s="21"/>
      <c r="E117" s="21"/>
      <c r="F117" s="21"/>
      <c r="G117" s="21"/>
    </row>
    <row r="118" spans="1:7" ht="15" customHeight="1">
      <c r="A118" s="103" t="s">
        <v>180</v>
      </c>
      <c r="B118" s="16" t="s">
        <v>213</v>
      </c>
      <c r="C118" s="17"/>
      <c r="D118" s="18"/>
      <c r="E118" s="19"/>
      <c r="F118" s="19"/>
      <c r="G118" s="19"/>
    </row>
    <row r="119" spans="1:7" ht="13.5" customHeight="1">
      <c r="A119" s="104" t="s">
        <v>181</v>
      </c>
      <c r="B119" s="21" t="s">
        <v>394</v>
      </c>
      <c r="C119" s="17" t="s">
        <v>15</v>
      </c>
      <c r="D119" s="22"/>
      <c r="E119" s="19">
        <v>1</v>
      </c>
      <c r="F119" s="19">
        <f>+movilidad!H35</f>
        <v>187200</v>
      </c>
      <c r="G119" s="19">
        <f>ROUND(F119*E119,2)</f>
        <v>187200</v>
      </c>
    </row>
    <row r="120" spans="1:7" ht="13.5" customHeight="1">
      <c r="A120" s="104" t="s">
        <v>182</v>
      </c>
      <c r="B120" s="21" t="s">
        <v>393</v>
      </c>
      <c r="C120" s="17" t="s">
        <v>15</v>
      </c>
      <c r="D120" s="22"/>
      <c r="E120" s="19">
        <v>1</v>
      </c>
      <c r="F120" s="19">
        <f>+movilidad!H64</f>
        <v>339840</v>
      </c>
      <c r="G120" s="19">
        <f>ROUND(F120*E120,2)</f>
        <v>339840</v>
      </c>
    </row>
    <row r="121" spans="1:7" ht="13.5" customHeight="1">
      <c r="A121" s="104" t="s">
        <v>390</v>
      </c>
      <c r="B121" s="21" t="s">
        <v>395</v>
      </c>
      <c r="C121" s="17" t="s">
        <v>15</v>
      </c>
      <c r="D121" s="22"/>
      <c r="E121" s="19">
        <v>1</v>
      </c>
      <c r="F121" s="19">
        <f>+movilidad!H83</f>
        <v>0</v>
      </c>
      <c r="G121" s="19">
        <f>ROUND(F121*E121,2)</f>
        <v>0</v>
      </c>
    </row>
    <row r="122" spans="1:7" ht="13.5" customHeight="1">
      <c r="A122" s="104" t="s">
        <v>391</v>
      </c>
      <c r="B122" s="111" t="s">
        <v>222</v>
      </c>
      <c r="C122" s="112" t="s">
        <v>15</v>
      </c>
      <c r="D122" s="113"/>
      <c r="E122" s="114">
        <v>1</v>
      </c>
      <c r="F122" s="114">
        <f>((D106+D108+D109)*15*40+15*20)+((D110+D111+D112+D113+D114)*15*60+40*20)</f>
        <v>11300</v>
      </c>
      <c r="G122" s="114">
        <f>ROUND(F122*E122,2)</f>
        <v>11300</v>
      </c>
    </row>
    <row r="123" spans="2:7" ht="18" customHeight="1">
      <c r="B123" s="16" t="s">
        <v>170</v>
      </c>
      <c r="C123" s="17"/>
      <c r="D123" s="18"/>
      <c r="E123" s="19"/>
      <c r="F123" s="19"/>
      <c r="G123" s="15">
        <f>SUM(G119:G122)</f>
        <v>538340</v>
      </c>
    </row>
    <row r="124" spans="2:7" ht="6.75" customHeight="1">
      <c r="B124" s="21"/>
      <c r="C124" s="17"/>
      <c r="D124" s="22"/>
      <c r="E124" s="19"/>
      <c r="F124" s="19"/>
      <c r="G124" s="19"/>
    </row>
    <row r="125" spans="1:7" ht="18" customHeight="1">
      <c r="A125" s="103" t="s">
        <v>184</v>
      </c>
      <c r="B125" s="16" t="s">
        <v>171</v>
      </c>
      <c r="C125" s="17"/>
      <c r="D125" s="22"/>
      <c r="E125" s="19"/>
      <c r="F125" s="19"/>
      <c r="G125" s="19"/>
    </row>
    <row r="126" spans="1:7" ht="13.5" customHeight="1">
      <c r="A126" s="24" t="s">
        <v>185</v>
      </c>
      <c r="B126" s="21" t="s">
        <v>215</v>
      </c>
      <c r="C126" s="17" t="s">
        <v>23</v>
      </c>
      <c r="D126" s="22">
        <v>1</v>
      </c>
      <c r="E126" s="19">
        <v>1</v>
      </c>
      <c r="F126" s="19">
        <f>'Ensayo no destructivo'!I33+'Ensayo no destructivo'!I55</f>
        <v>103207.5</v>
      </c>
      <c r="G126" s="19">
        <f aca="true" t="shared" si="6" ref="G126:G133">ROUND(F126*E126*D126,2)</f>
        <v>103207.5</v>
      </c>
    </row>
    <row r="127" spans="1:7" ht="13.5" customHeight="1">
      <c r="A127" s="24" t="s">
        <v>186</v>
      </c>
      <c r="B127" s="21" t="s">
        <v>268</v>
      </c>
      <c r="C127" s="17" t="s">
        <v>23</v>
      </c>
      <c r="D127" s="22">
        <v>1</v>
      </c>
      <c r="E127" s="19">
        <v>1</v>
      </c>
      <c r="F127" s="19">
        <v>7000</v>
      </c>
      <c r="G127" s="19">
        <f t="shared" si="6"/>
        <v>7000</v>
      </c>
    </row>
    <row r="128" spans="1:7" ht="13.5" customHeight="1">
      <c r="A128" s="24" t="s">
        <v>258</v>
      </c>
      <c r="B128" s="21" t="s">
        <v>392</v>
      </c>
      <c r="C128" s="17" t="s">
        <v>23</v>
      </c>
      <c r="D128" s="22">
        <v>1</v>
      </c>
      <c r="E128" s="19">
        <v>1</v>
      </c>
      <c r="F128" s="19">
        <v>15000</v>
      </c>
      <c r="G128" s="19">
        <f t="shared" si="6"/>
        <v>15000</v>
      </c>
    </row>
    <row r="129" spans="1:7" ht="13.5" customHeight="1">
      <c r="A129" s="24" t="s">
        <v>426</v>
      </c>
      <c r="B129" s="21" t="s">
        <v>387</v>
      </c>
      <c r="C129" s="17" t="s">
        <v>389</v>
      </c>
      <c r="D129" s="22">
        <v>2</v>
      </c>
      <c r="E129" s="19">
        <v>13</v>
      </c>
      <c r="F129" s="19">
        <f>120+75</f>
        <v>195</v>
      </c>
      <c r="G129" s="19">
        <f t="shared" si="6"/>
        <v>5070</v>
      </c>
    </row>
    <row r="130" spans="1:7" ht="13.5" customHeight="1">
      <c r="A130" s="24" t="s">
        <v>427</v>
      </c>
      <c r="B130" s="21" t="s">
        <v>388</v>
      </c>
      <c r="C130" s="17" t="s">
        <v>389</v>
      </c>
      <c r="D130" s="22">
        <v>2</v>
      </c>
      <c r="E130" s="19">
        <v>15</v>
      </c>
      <c r="F130" s="19">
        <f>120+75</f>
        <v>195</v>
      </c>
      <c r="G130" s="19">
        <f t="shared" si="6"/>
        <v>5850</v>
      </c>
    </row>
    <row r="131" spans="1:7" ht="13.5" customHeight="1">
      <c r="A131" s="24" t="s">
        <v>437</v>
      </c>
      <c r="B131" s="21" t="s">
        <v>385</v>
      </c>
      <c r="C131" s="17" t="s">
        <v>389</v>
      </c>
      <c r="D131" s="22">
        <v>2</v>
      </c>
      <c r="E131" s="19">
        <v>56</v>
      </c>
      <c r="F131" s="19">
        <f>65+70</f>
        <v>135</v>
      </c>
      <c r="G131" s="19">
        <f t="shared" si="6"/>
        <v>15120</v>
      </c>
    </row>
    <row r="132" spans="1:7" ht="13.5" customHeight="1">
      <c r="A132" s="24" t="s">
        <v>438</v>
      </c>
      <c r="B132" s="21" t="s">
        <v>386</v>
      </c>
      <c r="C132" s="17" t="s">
        <v>389</v>
      </c>
      <c r="D132" s="22">
        <v>2</v>
      </c>
      <c r="E132" s="19">
        <v>250</v>
      </c>
      <c r="F132" s="19">
        <f>65+70</f>
        <v>135</v>
      </c>
      <c r="G132" s="19">
        <f t="shared" si="6"/>
        <v>67500</v>
      </c>
    </row>
    <row r="133" spans="1:7" ht="13.5" customHeight="1">
      <c r="A133" s="24" t="s">
        <v>439</v>
      </c>
      <c r="B133" s="21" t="s">
        <v>373</v>
      </c>
      <c r="C133" s="17" t="s">
        <v>23</v>
      </c>
      <c r="D133" s="22">
        <v>1</v>
      </c>
      <c r="E133" s="19">
        <v>1</v>
      </c>
      <c r="F133" s="19">
        <v>4500</v>
      </c>
      <c r="G133" s="19">
        <f t="shared" si="6"/>
        <v>4500</v>
      </c>
    </row>
    <row r="134" spans="2:7" ht="15.75" customHeight="1">
      <c r="B134" s="16" t="s">
        <v>183</v>
      </c>
      <c r="C134" s="17"/>
      <c r="D134" s="22"/>
      <c r="E134" s="19"/>
      <c r="F134" s="19"/>
      <c r="G134" s="15">
        <f>SUM(G126:G133)</f>
        <v>223247.5</v>
      </c>
    </row>
    <row r="135" spans="2:7" ht="7.5" customHeight="1">
      <c r="B135" s="16"/>
      <c r="C135" s="17"/>
      <c r="D135" s="22"/>
      <c r="E135" s="19"/>
      <c r="F135" s="19"/>
      <c r="G135" s="15"/>
    </row>
    <row r="136" spans="1:7" ht="18" customHeight="1">
      <c r="A136" s="103" t="s">
        <v>187</v>
      </c>
      <c r="B136" s="16" t="s">
        <v>279</v>
      </c>
      <c r="C136" s="17"/>
      <c r="D136" s="22"/>
      <c r="E136" s="19"/>
      <c r="F136" s="19"/>
      <c r="G136" s="19"/>
    </row>
    <row r="137" spans="1:7" ht="13.5" customHeight="1">
      <c r="A137" s="24" t="s">
        <v>188</v>
      </c>
      <c r="B137" s="21" t="s">
        <v>498</v>
      </c>
      <c r="C137" s="17" t="s">
        <v>23</v>
      </c>
      <c r="D137" s="22">
        <v>1</v>
      </c>
      <c r="E137" s="19">
        <v>1</v>
      </c>
      <c r="F137" s="19">
        <f>+'[1]Quillabamba'!$H$7</f>
        <v>244270</v>
      </c>
      <c r="G137" s="19">
        <f>ROUND(F137*E137*D137,2)</f>
        <v>244270</v>
      </c>
    </row>
    <row r="138" spans="1:7" s="119" customFormat="1" ht="27.75" customHeight="1">
      <c r="A138" s="115" t="s">
        <v>189</v>
      </c>
      <c r="B138" s="111" t="s">
        <v>499</v>
      </c>
      <c r="C138" s="116" t="s">
        <v>23</v>
      </c>
      <c r="D138" s="117">
        <v>1</v>
      </c>
      <c r="E138" s="118">
        <v>1</v>
      </c>
      <c r="F138" s="118">
        <f>+'[1]Quillabamba'!$H$38</f>
        <v>16446</v>
      </c>
      <c r="G138" s="118">
        <f>ROUND(F138*E138*D138,2)</f>
        <v>16446</v>
      </c>
    </row>
    <row r="139" spans="1:7" ht="13.5" customHeight="1">
      <c r="A139" s="24" t="s">
        <v>190</v>
      </c>
      <c r="B139" s="21" t="s">
        <v>95</v>
      </c>
      <c r="C139" s="17" t="s">
        <v>23</v>
      </c>
      <c r="D139" s="22">
        <v>1</v>
      </c>
      <c r="E139" s="19">
        <v>1</v>
      </c>
      <c r="F139" s="19">
        <f>+'[1]Quillabamba'!$H$39</f>
        <v>30000</v>
      </c>
      <c r="G139" s="19">
        <f>ROUND(F139*E139*D139,2)</f>
        <v>30000</v>
      </c>
    </row>
    <row r="140" spans="1:7" ht="13.5" customHeight="1">
      <c r="A140" s="24" t="s">
        <v>191</v>
      </c>
      <c r="B140" s="21" t="s">
        <v>477</v>
      </c>
      <c r="C140" s="17" t="s">
        <v>23</v>
      </c>
      <c r="D140" s="22">
        <v>1</v>
      </c>
      <c r="E140" s="19">
        <v>1</v>
      </c>
      <c r="F140" s="19">
        <f>+'[1]Quillabamba'!$H$43</f>
        <v>76040</v>
      </c>
      <c r="G140" s="19">
        <f>ROUND(F140*E140*D140,2)</f>
        <v>76040</v>
      </c>
    </row>
    <row r="141" spans="1:7" ht="13.5" customHeight="1">
      <c r="A141" s="24" t="s">
        <v>192</v>
      </c>
      <c r="B141" s="21" t="s">
        <v>478</v>
      </c>
      <c r="C141" s="17" t="s">
        <v>23</v>
      </c>
      <c r="D141" s="22">
        <v>1</v>
      </c>
      <c r="E141" s="19">
        <v>1</v>
      </c>
      <c r="F141" s="19">
        <f>+'[1]Quillabamba'!$H$54</f>
        <v>20400</v>
      </c>
      <c r="G141" s="19">
        <f>ROUND(F141*E141*D141,2)</f>
        <v>20400</v>
      </c>
    </row>
    <row r="142" spans="2:7" ht="18" customHeight="1">
      <c r="B142" s="16" t="s">
        <v>380</v>
      </c>
      <c r="C142" s="17"/>
      <c r="D142" s="22"/>
      <c r="E142" s="19"/>
      <c r="F142" s="19"/>
      <c r="G142" s="15">
        <f>SUM(G137:G141)</f>
        <v>387156</v>
      </c>
    </row>
    <row r="143" spans="2:7" ht="8.25" customHeight="1">
      <c r="B143" s="16"/>
      <c r="C143" s="17"/>
      <c r="D143" s="22"/>
      <c r="E143" s="19"/>
      <c r="F143" s="19"/>
      <c r="G143" s="15"/>
    </row>
    <row r="144" spans="1:7" ht="18" customHeight="1">
      <c r="A144" s="103" t="s">
        <v>195</v>
      </c>
      <c r="B144" s="16" t="s">
        <v>377</v>
      </c>
      <c r="C144" s="17"/>
      <c r="D144" s="22"/>
      <c r="E144" s="19"/>
      <c r="F144" s="19"/>
      <c r="G144" s="19"/>
    </row>
    <row r="145" spans="1:7" ht="13.5" customHeight="1">
      <c r="A145" s="109" t="s">
        <v>196</v>
      </c>
      <c r="B145" s="21" t="s">
        <v>369</v>
      </c>
      <c r="C145" s="17" t="s">
        <v>372</v>
      </c>
      <c r="D145" s="22">
        <v>1</v>
      </c>
      <c r="E145" s="19">
        <v>1</v>
      </c>
      <c r="F145" s="19">
        <v>25000</v>
      </c>
      <c r="G145" s="19">
        <f aca="true" t="shared" si="7" ref="G145:G154">ROUND(F145*E145*D145,2)</f>
        <v>25000</v>
      </c>
    </row>
    <row r="146" spans="1:7" ht="13.5" customHeight="1">
      <c r="A146" s="109" t="s">
        <v>428</v>
      </c>
      <c r="B146" s="21" t="s">
        <v>452</v>
      </c>
      <c r="C146" s="17" t="s">
        <v>372</v>
      </c>
      <c r="D146" s="22">
        <v>1</v>
      </c>
      <c r="E146" s="19">
        <v>1</v>
      </c>
      <c r="F146" s="19">
        <v>10000</v>
      </c>
      <c r="G146" s="19">
        <f>ROUND(F146*E146*D146,2)</f>
        <v>10000</v>
      </c>
    </row>
    <row r="147" spans="1:7" ht="13.5" customHeight="1">
      <c r="A147" s="24" t="s">
        <v>429</v>
      </c>
      <c r="B147" s="21" t="s">
        <v>366</v>
      </c>
      <c r="C147" s="17" t="s">
        <v>18</v>
      </c>
      <c r="D147" s="22">
        <v>1</v>
      </c>
      <c r="E147" s="19">
        <f>+D11</f>
        <v>18</v>
      </c>
      <c r="F147" s="19">
        <v>2500</v>
      </c>
      <c r="G147" s="19">
        <f t="shared" si="7"/>
        <v>45000</v>
      </c>
    </row>
    <row r="148" spans="1:7" ht="13.5" customHeight="1">
      <c r="A148" s="109" t="s">
        <v>430</v>
      </c>
      <c r="B148" s="21" t="s">
        <v>365</v>
      </c>
      <c r="C148" s="17" t="s">
        <v>18</v>
      </c>
      <c r="D148" s="22">
        <v>1</v>
      </c>
      <c r="E148" s="19">
        <f>+D11</f>
        <v>18</v>
      </c>
      <c r="F148" s="19">
        <v>1000</v>
      </c>
      <c r="G148" s="19">
        <f t="shared" si="7"/>
        <v>18000</v>
      </c>
    </row>
    <row r="149" spans="1:7" ht="13.5" customHeight="1">
      <c r="A149" s="24" t="s">
        <v>431</v>
      </c>
      <c r="B149" s="21" t="s">
        <v>302</v>
      </c>
      <c r="C149" s="17" t="s">
        <v>18</v>
      </c>
      <c r="D149" s="22">
        <v>1</v>
      </c>
      <c r="E149" s="19">
        <f>+D11</f>
        <v>18</v>
      </c>
      <c r="F149" s="19">
        <v>500</v>
      </c>
      <c r="G149" s="19">
        <f t="shared" si="7"/>
        <v>9000</v>
      </c>
    </row>
    <row r="150" spans="1:7" ht="13.5" customHeight="1">
      <c r="A150" s="109" t="s">
        <v>285</v>
      </c>
      <c r="B150" s="21" t="s">
        <v>303</v>
      </c>
      <c r="C150" s="17" t="s">
        <v>18</v>
      </c>
      <c r="D150" s="22">
        <v>1</v>
      </c>
      <c r="E150" s="19">
        <f>+D11</f>
        <v>18</v>
      </c>
      <c r="F150" s="19">
        <v>500</v>
      </c>
      <c r="G150" s="19">
        <f t="shared" si="7"/>
        <v>9000</v>
      </c>
    </row>
    <row r="151" spans="1:7" ht="13.5" customHeight="1">
      <c r="A151" s="24" t="s">
        <v>286</v>
      </c>
      <c r="B151" s="21" t="s">
        <v>379</v>
      </c>
      <c r="C151" s="17" t="s">
        <v>18</v>
      </c>
      <c r="D151" s="22">
        <v>1</v>
      </c>
      <c r="E151" s="19">
        <f>+D11</f>
        <v>18</v>
      </c>
      <c r="F151" s="19">
        <v>400</v>
      </c>
      <c r="G151" s="19">
        <f t="shared" si="7"/>
        <v>7200</v>
      </c>
    </row>
    <row r="152" spans="1:7" ht="13.5" customHeight="1">
      <c r="A152" s="109" t="s">
        <v>451</v>
      </c>
      <c r="B152" s="21" t="s">
        <v>476</v>
      </c>
      <c r="C152" s="17" t="s">
        <v>372</v>
      </c>
      <c r="D152" s="22">
        <v>1</v>
      </c>
      <c r="E152" s="19">
        <v>1</v>
      </c>
      <c r="F152" s="19">
        <v>25000</v>
      </c>
      <c r="G152" s="19">
        <f t="shared" si="7"/>
        <v>25000</v>
      </c>
    </row>
    <row r="153" spans="1:7" ht="13.5" customHeight="1">
      <c r="A153" s="24" t="s">
        <v>473</v>
      </c>
      <c r="B153" s="21" t="s">
        <v>378</v>
      </c>
      <c r="C153" s="17" t="s">
        <v>18</v>
      </c>
      <c r="D153" s="22">
        <v>1</v>
      </c>
      <c r="E153" s="19">
        <f>+D11</f>
        <v>18</v>
      </c>
      <c r="F153" s="19">
        <v>350</v>
      </c>
      <c r="G153" s="19">
        <f t="shared" si="7"/>
        <v>6300</v>
      </c>
    </row>
    <row r="154" spans="1:7" ht="13.5" customHeight="1">
      <c r="A154" s="24" t="s">
        <v>475</v>
      </c>
      <c r="B154" s="21" t="s">
        <v>474</v>
      </c>
      <c r="C154" s="17" t="s">
        <v>18</v>
      </c>
      <c r="D154" s="22">
        <v>1</v>
      </c>
      <c r="E154" s="19">
        <v>18</v>
      </c>
      <c r="F154" s="19">
        <v>3000</v>
      </c>
      <c r="G154" s="19">
        <f t="shared" si="7"/>
        <v>54000</v>
      </c>
    </row>
    <row r="155" spans="2:7" ht="15" customHeight="1">
      <c r="B155" s="16" t="s">
        <v>368</v>
      </c>
      <c r="C155" s="17"/>
      <c r="D155" s="22"/>
      <c r="E155" s="19"/>
      <c r="F155" s="19"/>
      <c r="G155" s="15">
        <f>SUM(G145:G154)</f>
        <v>208500</v>
      </c>
    </row>
    <row r="156" spans="1:7" ht="15" customHeight="1">
      <c r="A156" s="24"/>
      <c r="B156" s="21"/>
      <c r="C156" s="17"/>
      <c r="D156" s="22"/>
      <c r="E156" s="19"/>
      <c r="F156" s="19"/>
      <c r="G156" s="19"/>
    </row>
    <row r="157" spans="1:7" ht="15" customHeight="1">
      <c r="A157" s="103" t="s">
        <v>204</v>
      </c>
      <c r="B157" s="16" t="s">
        <v>376</v>
      </c>
      <c r="C157" s="17"/>
      <c r="D157" s="22"/>
      <c r="E157" s="19"/>
      <c r="F157" s="19"/>
      <c r="G157" s="19"/>
    </row>
    <row r="158" spans="1:7" ht="15" customHeight="1">
      <c r="A158" s="24" t="s">
        <v>205</v>
      </c>
      <c r="B158" s="21" t="s">
        <v>25</v>
      </c>
      <c r="C158" s="17" t="s">
        <v>18</v>
      </c>
      <c r="D158" s="22">
        <v>1</v>
      </c>
      <c r="E158" s="19">
        <f>+E147</f>
        <v>18</v>
      </c>
      <c r="F158" s="19">
        <v>1000</v>
      </c>
      <c r="G158" s="19">
        <f aca="true" t="shared" si="8" ref="G158:G163">ROUND(F158*E158*D158,2)</f>
        <v>18000</v>
      </c>
    </row>
    <row r="159" spans="1:7" ht="15" customHeight="1">
      <c r="A159" s="24" t="s">
        <v>206</v>
      </c>
      <c r="B159" s="21" t="s">
        <v>370</v>
      </c>
      <c r="C159" s="17" t="s">
        <v>18</v>
      </c>
      <c r="D159" s="22">
        <v>1</v>
      </c>
      <c r="E159" s="19">
        <f>+E149</f>
        <v>18</v>
      </c>
      <c r="F159" s="19">
        <v>1000</v>
      </c>
      <c r="G159" s="19">
        <f t="shared" si="8"/>
        <v>18000</v>
      </c>
    </row>
    <row r="160" spans="1:7" ht="15" customHeight="1">
      <c r="A160" s="24" t="s">
        <v>207</v>
      </c>
      <c r="B160" s="21" t="s">
        <v>371</v>
      </c>
      <c r="C160" s="17" t="s">
        <v>18</v>
      </c>
      <c r="D160" s="22">
        <v>1</v>
      </c>
      <c r="E160" s="19">
        <f>+E159</f>
        <v>18</v>
      </c>
      <c r="F160" s="19">
        <v>1000</v>
      </c>
      <c r="G160" s="19">
        <f t="shared" si="8"/>
        <v>18000</v>
      </c>
    </row>
    <row r="161" spans="1:7" ht="15" customHeight="1">
      <c r="A161" s="24" t="s">
        <v>208</v>
      </c>
      <c r="B161" s="21" t="s">
        <v>374</v>
      </c>
      <c r="C161" s="17" t="s">
        <v>18</v>
      </c>
      <c r="D161" s="22">
        <v>1</v>
      </c>
      <c r="E161" s="19">
        <f>+E160</f>
        <v>18</v>
      </c>
      <c r="F161" s="19">
        <v>800</v>
      </c>
      <c r="G161" s="19">
        <f t="shared" si="8"/>
        <v>14400</v>
      </c>
    </row>
    <row r="162" spans="1:7" ht="15" customHeight="1">
      <c r="A162" s="24" t="s">
        <v>440</v>
      </c>
      <c r="B162" s="21" t="s">
        <v>375</v>
      </c>
      <c r="C162" s="17" t="s">
        <v>18</v>
      </c>
      <c r="D162" s="22">
        <v>1</v>
      </c>
      <c r="E162" s="19">
        <f>+E161</f>
        <v>18</v>
      </c>
      <c r="F162" s="19">
        <v>700</v>
      </c>
      <c r="G162" s="19">
        <f t="shared" si="8"/>
        <v>12600</v>
      </c>
    </row>
    <row r="163" spans="1:7" ht="15" customHeight="1">
      <c r="A163" s="24" t="s">
        <v>441</v>
      </c>
      <c r="B163" s="21" t="s">
        <v>257</v>
      </c>
      <c r="C163" s="17" t="s">
        <v>18</v>
      </c>
      <c r="D163" s="22">
        <v>1</v>
      </c>
      <c r="E163" s="19">
        <f>+E159</f>
        <v>18</v>
      </c>
      <c r="F163" s="19">
        <v>700</v>
      </c>
      <c r="G163" s="19">
        <f t="shared" si="8"/>
        <v>12600</v>
      </c>
    </row>
    <row r="164" spans="2:7" ht="18" customHeight="1">
      <c r="B164" s="16" t="s">
        <v>367</v>
      </c>
      <c r="C164" s="17"/>
      <c r="D164" s="22"/>
      <c r="E164" s="19"/>
      <c r="F164" s="19"/>
      <c r="G164" s="15">
        <f>SUM(G158:G163)</f>
        <v>93600</v>
      </c>
    </row>
    <row r="165" spans="2:7" ht="18" customHeight="1">
      <c r="B165" s="21"/>
      <c r="C165" s="17"/>
      <c r="D165" s="22"/>
      <c r="E165" s="19"/>
      <c r="F165" s="19"/>
      <c r="G165" s="19"/>
    </row>
    <row r="166" spans="1:7" ht="18" customHeight="1">
      <c r="A166" s="108" t="s">
        <v>280</v>
      </c>
      <c r="B166" s="16" t="s">
        <v>193</v>
      </c>
      <c r="C166" s="17"/>
      <c r="D166" s="22"/>
      <c r="E166" s="19"/>
      <c r="F166" s="19"/>
      <c r="G166" s="19"/>
    </row>
    <row r="167" spans="1:7" ht="15" customHeight="1">
      <c r="A167" s="24" t="s">
        <v>281</v>
      </c>
      <c r="B167" s="21" t="s">
        <v>34</v>
      </c>
      <c r="C167" s="17" t="s">
        <v>18</v>
      </c>
      <c r="D167" s="22">
        <v>0.5</v>
      </c>
      <c r="E167" s="19">
        <f>D11</f>
        <v>18</v>
      </c>
      <c r="F167" s="19">
        <v>15000</v>
      </c>
      <c r="G167" s="19">
        <f aca="true" t="shared" si="9" ref="G167:G178">ROUND(F167*E167*D167,2)</f>
        <v>135000</v>
      </c>
    </row>
    <row r="168" spans="1:7" ht="15" customHeight="1">
      <c r="A168" s="24" t="s">
        <v>282</v>
      </c>
      <c r="B168" s="21" t="s">
        <v>453</v>
      </c>
      <c r="C168" s="17" t="s">
        <v>18</v>
      </c>
      <c r="D168" s="22">
        <v>0.5</v>
      </c>
      <c r="E168" s="19">
        <f>+D11</f>
        <v>18</v>
      </c>
      <c r="F168" s="19">
        <v>9000</v>
      </c>
      <c r="G168" s="19">
        <f t="shared" si="9"/>
        <v>81000</v>
      </c>
    </row>
    <row r="169" spans="1:7" ht="15" customHeight="1">
      <c r="A169" s="24" t="s">
        <v>283</v>
      </c>
      <c r="B169" s="21" t="s">
        <v>454</v>
      </c>
      <c r="C169" s="17" t="s">
        <v>18</v>
      </c>
      <c r="D169" s="22">
        <v>0.2</v>
      </c>
      <c r="E169" s="19">
        <f>+E168</f>
        <v>18</v>
      </c>
      <c r="F169" s="19">
        <v>6000</v>
      </c>
      <c r="G169" s="19">
        <f t="shared" si="9"/>
        <v>21600</v>
      </c>
    </row>
    <row r="170" spans="1:7" ht="15" customHeight="1">
      <c r="A170" s="24" t="s">
        <v>284</v>
      </c>
      <c r="B170" s="21" t="s">
        <v>455</v>
      </c>
      <c r="C170" s="17" t="s">
        <v>18</v>
      </c>
      <c r="D170" s="22">
        <v>0.2</v>
      </c>
      <c r="E170" s="19">
        <f>+E169</f>
        <v>18</v>
      </c>
      <c r="F170" s="19">
        <v>3500</v>
      </c>
      <c r="G170" s="19">
        <f t="shared" si="9"/>
        <v>12600</v>
      </c>
    </row>
    <row r="171" spans="1:7" ht="15" customHeight="1">
      <c r="A171" s="24" t="s">
        <v>457</v>
      </c>
      <c r="B171" s="21" t="s">
        <v>456</v>
      </c>
      <c r="C171" s="17" t="s">
        <v>18</v>
      </c>
      <c r="D171" s="22">
        <v>0.2</v>
      </c>
      <c r="E171" s="19">
        <f>+E170</f>
        <v>18</v>
      </c>
      <c r="F171" s="19">
        <v>2000</v>
      </c>
      <c r="G171" s="19">
        <f t="shared" si="9"/>
        <v>7200</v>
      </c>
    </row>
    <row r="172" spans="1:7" ht="15" customHeight="1">
      <c r="A172" s="24" t="s">
        <v>458</v>
      </c>
      <c r="B172" s="21" t="s">
        <v>21</v>
      </c>
      <c r="C172" s="17" t="s">
        <v>18</v>
      </c>
      <c r="D172" s="22">
        <v>0.5</v>
      </c>
      <c r="E172" s="19">
        <v>18</v>
      </c>
      <c r="F172" s="19">
        <v>1500</v>
      </c>
      <c r="G172" s="19">
        <f t="shared" si="9"/>
        <v>13500</v>
      </c>
    </row>
    <row r="173" spans="1:7" ht="15" customHeight="1">
      <c r="A173" s="24" t="s">
        <v>459</v>
      </c>
      <c r="B173" s="21" t="s">
        <v>172</v>
      </c>
      <c r="C173" s="17" t="s">
        <v>57</v>
      </c>
      <c r="D173" s="22">
        <v>1</v>
      </c>
      <c r="E173" s="74">
        <f>+FIJOS!E68</f>
        <v>0.49</v>
      </c>
      <c r="F173" s="19">
        <f>SUM(G167:G172)</f>
        <v>270900</v>
      </c>
      <c r="G173" s="19">
        <f t="shared" si="9"/>
        <v>132741</v>
      </c>
    </row>
    <row r="174" spans="1:7" ht="15" customHeight="1">
      <c r="A174" s="24" t="s">
        <v>465</v>
      </c>
      <c r="B174" s="21" t="s">
        <v>460</v>
      </c>
      <c r="C174" s="17" t="s">
        <v>18</v>
      </c>
      <c r="D174" s="22">
        <v>0.2</v>
      </c>
      <c r="E174" s="120">
        <f>+E168</f>
        <v>18</v>
      </c>
      <c r="F174" s="19">
        <v>4000</v>
      </c>
      <c r="G174" s="19">
        <f t="shared" si="9"/>
        <v>14400</v>
      </c>
    </row>
    <row r="175" spans="1:7" ht="15" customHeight="1">
      <c r="A175" s="24" t="s">
        <v>466</v>
      </c>
      <c r="B175" s="21" t="s">
        <v>461</v>
      </c>
      <c r="C175" s="17" t="s">
        <v>18</v>
      </c>
      <c r="D175" s="22">
        <v>0.2</v>
      </c>
      <c r="E175" s="120">
        <f>+E168</f>
        <v>18</v>
      </c>
      <c r="F175" s="19">
        <v>2000</v>
      </c>
      <c r="G175" s="19">
        <f t="shared" si="9"/>
        <v>7200</v>
      </c>
    </row>
    <row r="176" spans="1:7" ht="15" customHeight="1">
      <c r="A176" s="24" t="s">
        <v>467</v>
      </c>
      <c r="B176" s="21" t="s">
        <v>462</v>
      </c>
      <c r="C176" s="17" t="s">
        <v>18</v>
      </c>
      <c r="D176" s="22">
        <v>0.2</v>
      </c>
      <c r="E176" s="120">
        <f>+E169</f>
        <v>18</v>
      </c>
      <c r="F176" s="19">
        <v>2000</v>
      </c>
      <c r="G176" s="19">
        <f t="shared" si="9"/>
        <v>7200</v>
      </c>
    </row>
    <row r="177" spans="1:7" ht="15" customHeight="1">
      <c r="A177" s="24" t="s">
        <v>468</v>
      </c>
      <c r="B177" s="21" t="s">
        <v>463</v>
      </c>
      <c r="C177" s="17" t="s">
        <v>18</v>
      </c>
      <c r="D177" s="22">
        <v>0.2</v>
      </c>
      <c r="E177" s="120">
        <f>+E170</f>
        <v>18</v>
      </c>
      <c r="F177" s="19">
        <v>2000</v>
      </c>
      <c r="G177" s="19">
        <f t="shared" si="9"/>
        <v>7200</v>
      </c>
    </row>
    <row r="178" spans="1:7" ht="15" customHeight="1">
      <c r="A178" s="24" t="s">
        <v>469</v>
      </c>
      <c r="B178" s="21" t="s">
        <v>464</v>
      </c>
      <c r="C178" s="17" t="s">
        <v>18</v>
      </c>
      <c r="D178" s="22">
        <v>0.2</v>
      </c>
      <c r="E178" s="120">
        <f>+E171</f>
        <v>18</v>
      </c>
      <c r="F178" s="19">
        <v>1000</v>
      </c>
      <c r="G178" s="19">
        <f t="shared" si="9"/>
        <v>3600</v>
      </c>
    </row>
    <row r="179" spans="1:7" ht="18" customHeight="1">
      <c r="A179" s="21"/>
      <c r="B179" s="16" t="s">
        <v>194</v>
      </c>
      <c r="C179" s="17"/>
      <c r="D179" s="22"/>
      <c r="E179" s="19"/>
      <c r="F179" s="19"/>
      <c r="G179" s="15">
        <f>SUM(G167:G178)</f>
        <v>443241</v>
      </c>
    </row>
    <row r="180" spans="3:7" ht="18" customHeight="1">
      <c r="C180" s="11"/>
      <c r="D180" s="25"/>
      <c r="E180" s="13"/>
      <c r="F180" s="13"/>
      <c r="G180" s="13"/>
    </row>
    <row r="181" spans="1:7" ht="18" customHeight="1">
      <c r="A181" s="103" t="s">
        <v>432</v>
      </c>
      <c r="B181" s="16" t="s">
        <v>35</v>
      </c>
      <c r="C181" s="17"/>
      <c r="D181" s="22"/>
      <c r="E181" s="19"/>
      <c r="F181" s="19"/>
      <c r="G181" s="19"/>
    </row>
    <row r="182" spans="1:7" ht="15" customHeight="1">
      <c r="A182" s="104" t="s">
        <v>433</v>
      </c>
      <c r="B182" s="21" t="s">
        <v>36</v>
      </c>
      <c r="C182" s="17" t="s">
        <v>18</v>
      </c>
      <c r="D182" s="22">
        <v>1</v>
      </c>
      <c r="E182" s="19">
        <v>1</v>
      </c>
      <c r="F182" s="19">
        <f>+financiera!M29</f>
        <v>371711.16</v>
      </c>
      <c r="G182" s="19">
        <f>ROUND(F182*E182*D182,2)</f>
        <v>371711.16</v>
      </c>
    </row>
    <row r="183" spans="1:7" ht="15" customHeight="1">
      <c r="A183" s="104" t="s">
        <v>434</v>
      </c>
      <c r="B183" s="21" t="s">
        <v>200</v>
      </c>
      <c r="C183" s="17" t="s">
        <v>18</v>
      </c>
      <c r="D183" s="22">
        <v>1</v>
      </c>
      <c r="E183" s="19">
        <v>1</v>
      </c>
      <c r="F183" s="19">
        <f>financiera!M39+financiera!M48</f>
        <v>1274438.25</v>
      </c>
      <c r="G183" s="19">
        <f>ROUND(F183*E183*D183,2)</f>
        <v>1274438.25</v>
      </c>
    </row>
    <row r="184" spans="1:7" ht="15" customHeight="1">
      <c r="A184" s="104" t="s">
        <v>435</v>
      </c>
      <c r="B184" s="21" t="s">
        <v>37</v>
      </c>
      <c r="C184" s="17" t="s">
        <v>18</v>
      </c>
      <c r="D184" s="22">
        <v>1</v>
      </c>
      <c r="E184" s="19">
        <v>1</v>
      </c>
      <c r="F184" s="19">
        <f>+financiera!M57</f>
        <v>26550.8</v>
      </c>
      <c r="G184" s="19">
        <f>ROUND(F184*E184*D184,2)</f>
        <v>26550.8</v>
      </c>
    </row>
    <row r="185" spans="1:7" ht="15" customHeight="1">
      <c r="A185" s="104" t="s">
        <v>436</v>
      </c>
      <c r="B185" s="21" t="s">
        <v>399</v>
      </c>
      <c r="C185" s="17" t="s">
        <v>23</v>
      </c>
      <c r="D185" s="22">
        <v>2</v>
      </c>
      <c r="E185" s="74">
        <v>0.0006</v>
      </c>
      <c r="F185" s="19">
        <f>+FIJOS!F86</f>
        <v>141604250.64</v>
      </c>
      <c r="G185" s="19">
        <f>ROUND(F185*E185*D185,2)</f>
        <v>169925.1</v>
      </c>
    </row>
    <row r="186" spans="2:7" ht="18" customHeight="1">
      <c r="B186" s="39" t="s">
        <v>197</v>
      </c>
      <c r="C186" s="11"/>
      <c r="D186" s="25"/>
      <c r="E186" s="13"/>
      <c r="F186" s="13"/>
      <c r="G186" s="101">
        <f>SUM(G182:G185)</f>
        <v>1842625.31</v>
      </c>
    </row>
    <row r="187" spans="3:7" ht="18" customHeight="1">
      <c r="C187" s="11"/>
      <c r="D187" s="25"/>
      <c r="E187" s="13"/>
      <c r="F187" s="13"/>
      <c r="G187" s="13"/>
    </row>
    <row r="188" spans="1:7" ht="18" customHeight="1">
      <c r="A188" s="103" t="s">
        <v>442</v>
      </c>
      <c r="B188" s="16" t="s">
        <v>209</v>
      </c>
      <c r="C188" s="17"/>
      <c r="D188" s="22"/>
      <c r="E188" s="19"/>
      <c r="F188" s="19"/>
      <c r="G188" s="19"/>
    </row>
    <row r="189" spans="1:7" ht="15" customHeight="1">
      <c r="A189" s="104" t="s">
        <v>443</v>
      </c>
      <c r="B189" s="21" t="str">
        <f>+'Seguros '!A13</f>
        <v>A.- SEGUROS DE ACCIDENTES PERSONALES</v>
      </c>
      <c r="C189" s="17"/>
      <c r="D189" s="22"/>
      <c r="E189" s="19"/>
      <c r="F189" s="19"/>
      <c r="G189" s="19">
        <f>+'Seguros '!M17</f>
        <v>296804.1</v>
      </c>
    </row>
    <row r="190" spans="1:7" ht="15" customHeight="1">
      <c r="A190" s="104" t="s">
        <v>444</v>
      </c>
      <c r="B190" s="21" t="str">
        <f>+'Seguros '!A19</f>
        <v>B.- SEGURO COMPLEMENTARIO DE TRABAJO DE RIESGO</v>
      </c>
      <c r="C190" s="17"/>
      <c r="D190" s="22"/>
      <c r="E190" s="19"/>
      <c r="F190" s="19"/>
      <c r="G190" s="19">
        <f>+'Seguros '!M23</f>
        <v>82954.26</v>
      </c>
    </row>
    <row r="191" spans="1:7" ht="15" customHeight="1">
      <c r="A191" s="104" t="s">
        <v>445</v>
      </c>
      <c r="B191" s="21" t="str">
        <f>+'Seguros '!A25</f>
        <v>C.- SEGUROS DE VIDA</v>
      </c>
      <c r="C191" s="17"/>
      <c r="D191" s="22"/>
      <c r="E191" s="19"/>
      <c r="F191" s="19"/>
      <c r="G191" s="19">
        <f>+'Seguros '!M29</f>
        <v>57535.62</v>
      </c>
    </row>
    <row r="192" spans="1:7" ht="15" customHeight="1" hidden="1">
      <c r="A192" s="104" t="s">
        <v>446</v>
      </c>
      <c r="B192" s="21" t="str">
        <f>+'Seguros '!A31</f>
        <v>D.- RESPONSABILIDAD CIVIL CONTRA TERCEROS</v>
      </c>
      <c r="C192" s="17"/>
      <c r="D192" s="22"/>
      <c r="E192" s="19"/>
      <c r="F192" s="19"/>
      <c r="G192" s="19">
        <f>+'Seguros '!M35</f>
        <v>0</v>
      </c>
    </row>
    <row r="193" spans="1:7" ht="15" customHeight="1">
      <c r="A193" s="104" t="s">
        <v>446</v>
      </c>
      <c r="B193" s="21" t="str">
        <f>+'Seguros '!A37</f>
        <v>D.- SEGUROS CONTRA TODO RIESGO (CAR)</v>
      </c>
      <c r="C193" s="17"/>
      <c r="D193" s="22"/>
      <c r="E193" s="19"/>
      <c r="F193" s="19"/>
      <c r="G193" s="19">
        <f>+'Seguros '!M44</f>
        <v>603008.03</v>
      </c>
    </row>
    <row r="194" spans="1:7" ht="15" customHeight="1" hidden="1">
      <c r="A194" s="104" t="s">
        <v>448</v>
      </c>
      <c r="B194" s="21" t="str">
        <f>+'Seguros '!A46</f>
        <v>F.- SEGUROS CONTRA REMOCION DE ESCOMBROS</v>
      </c>
      <c r="C194" s="17"/>
      <c r="D194" s="22"/>
      <c r="E194" s="19"/>
      <c r="F194" s="19"/>
      <c r="G194" s="19">
        <f>+'Seguros '!M51</f>
        <v>0</v>
      </c>
    </row>
    <row r="195" spans="1:7" ht="15" customHeight="1" hidden="1">
      <c r="A195" s="104" t="s">
        <v>449</v>
      </c>
      <c r="B195" s="21" t="str">
        <f>+'Seguros '!A53</f>
        <v>G.- RESPONSABILIDAD CIVIL DE PROPIEDAD ADYACENTE</v>
      </c>
      <c r="C195" s="17"/>
      <c r="D195" s="22"/>
      <c r="E195" s="19"/>
      <c r="F195" s="19"/>
      <c r="G195" s="19">
        <f>+'Seguros '!M58</f>
        <v>0</v>
      </c>
    </row>
    <row r="196" spans="1:7" ht="15" customHeight="1">
      <c r="A196" s="104" t="s">
        <v>447</v>
      </c>
      <c r="B196" s="21" t="str">
        <f>+'Seguros '!A62</f>
        <v>  Costo por emisión de Póliza </v>
      </c>
      <c r="C196" s="17"/>
      <c r="D196" s="22"/>
      <c r="E196" s="19"/>
      <c r="F196" s="19"/>
      <c r="G196" s="19">
        <f>+'Seguros '!M62</f>
        <v>31209.06</v>
      </c>
    </row>
    <row r="197" spans="2:7" ht="18" customHeight="1">
      <c r="B197" s="39" t="s">
        <v>210</v>
      </c>
      <c r="C197" s="11"/>
      <c r="D197" s="25"/>
      <c r="E197" s="13"/>
      <c r="F197" s="13"/>
      <c r="G197" s="101">
        <f>SUM(G189:G196)</f>
        <v>1071511.07</v>
      </c>
    </row>
    <row r="198" spans="3:7" ht="18" customHeight="1">
      <c r="C198" s="11"/>
      <c r="D198" s="25"/>
      <c r="E198" s="13"/>
      <c r="F198" s="13"/>
      <c r="G198" s="13"/>
    </row>
    <row r="199" spans="1:7" s="89" customFormat="1" ht="21" customHeight="1">
      <c r="A199" s="89" t="s">
        <v>211</v>
      </c>
      <c r="C199" s="98"/>
      <c r="D199" s="121"/>
      <c r="E199" s="122"/>
      <c r="F199" s="122"/>
      <c r="G199" s="122">
        <f>G77+G83+G102+G115+G123+G134+G142+G155+G164+G179+G186+G197</f>
        <v>15940101.88</v>
      </c>
    </row>
  </sheetData>
  <mergeCells count="4">
    <mergeCell ref="C12:D12"/>
    <mergeCell ref="A14:A15"/>
    <mergeCell ref="B14:B15"/>
    <mergeCell ref="C14:C15"/>
  </mergeCells>
  <printOptions horizontalCentered="1"/>
  <pageMargins left="0.7874015748031497" right="0.5905511811023623" top="0.5905511811023623" bottom="1.1811023622047245" header="0" footer="0.2755905511811024"/>
  <pageSetup fitToHeight="3" horizontalDpi="600" verticalDpi="600" orientation="portrait" paperSize="9" scale="70" r:id="rId1"/>
  <headerFooter alignWithMargins="0">
    <oddFooter>&amp;C&amp;8
</oddFooter>
  </headerFooter>
  <rowBreaks count="3" manualBreakCount="3">
    <brk id="62" max="6" man="1"/>
    <brk id="104" max="6" man="1"/>
    <brk id="15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83"/>
  <sheetViews>
    <sheetView view="pageBreakPreview" zoomScaleSheetLayoutView="100" workbookViewId="0" topLeftCell="A1">
      <selection activeCell="A8" sqref="A8"/>
    </sheetView>
  </sheetViews>
  <sheetFormatPr defaultColWidth="12.57421875" defaultRowHeight="12.75"/>
  <cols>
    <col min="1" max="1" width="38.28125" style="10" customWidth="1"/>
    <col min="2" max="2" width="8.00390625" style="10" bestFit="1" customWidth="1"/>
    <col min="3" max="3" width="10.7109375" style="10" customWidth="1"/>
    <col min="4" max="4" width="7.140625" style="10" bestFit="1" customWidth="1"/>
    <col min="5" max="5" width="12.7109375" style="10" customWidth="1"/>
    <col min="6" max="6" width="11.7109375" style="10" customWidth="1"/>
    <col min="7" max="7" width="12.7109375" style="10" customWidth="1"/>
    <col min="8" max="8" width="15.140625" style="10" customWidth="1"/>
    <col min="9" max="16384" width="12.57421875" style="10" customWidth="1"/>
  </cols>
  <sheetData>
    <row r="1" spans="1:28" s="6" customFormat="1" ht="16.5">
      <c r="A1" s="33" t="s">
        <v>491</v>
      </c>
      <c r="B1" s="5" t="s">
        <v>492</v>
      </c>
      <c r="C1" s="48"/>
      <c r="J1" s="7"/>
      <c r="O1" s="8"/>
      <c r="AB1" s="7"/>
    </row>
    <row r="2" spans="1:28" s="6" customFormat="1" ht="16.5">
      <c r="A2" s="33"/>
      <c r="B2" s="5" t="s">
        <v>493</v>
      </c>
      <c r="C2" s="48"/>
      <c r="H2" s="9"/>
      <c r="K2" s="7"/>
      <c r="L2" s="7"/>
      <c r="AA2" s="7"/>
      <c r="AB2" s="7"/>
    </row>
    <row r="3" spans="1:28" s="6" customFormat="1" ht="16.5">
      <c r="A3" s="5" t="s">
        <v>494</v>
      </c>
      <c r="B3" s="5" t="s">
        <v>495</v>
      </c>
      <c r="C3" s="34"/>
      <c r="H3" s="9"/>
      <c r="I3" s="10"/>
      <c r="K3" s="7"/>
      <c r="L3" s="7"/>
      <c r="AA3" s="7"/>
      <c r="AB3" s="7"/>
    </row>
    <row r="4" spans="1:15" s="6" customFormat="1" ht="16.5">
      <c r="A4" s="33" t="s">
        <v>496</v>
      </c>
      <c r="B4" s="5" t="s">
        <v>497</v>
      </c>
      <c r="C4" s="34"/>
      <c r="O4" s="8"/>
    </row>
    <row r="5" spans="7:15" s="6" customFormat="1" ht="4.5" customHeight="1">
      <c r="G5" s="8"/>
      <c r="H5" s="8"/>
      <c r="I5" s="8"/>
      <c r="J5" s="8"/>
      <c r="K5" s="8"/>
      <c r="L5" s="8"/>
      <c r="M5" s="8"/>
      <c r="N5" s="8"/>
      <c r="O5" s="8"/>
    </row>
    <row r="6" spans="1:15" s="80" customFormat="1" ht="24" customHeight="1">
      <c r="A6" s="76" t="s">
        <v>270</v>
      </c>
      <c r="B6" s="77"/>
      <c r="C6" s="77"/>
      <c r="D6" s="77"/>
      <c r="E6" s="77"/>
      <c r="F6" s="77"/>
      <c r="G6" s="77"/>
      <c r="H6" s="77"/>
      <c r="I6" s="77"/>
      <c r="J6" s="77"/>
      <c r="K6" s="78"/>
      <c r="L6" s="78"/>
      <c r="M6" s="78"/>
      <c r="N6" s="79"/>
      <c r="O6" s="79"/>
    </row>
    <row r="7" spans="7:15" s="6" customFormat="1" ht="7.5" customHeight="1">
      <c r="G7" s="8"/>
      <c r="H7" s="8"/>
      <c r="I7" s="8"/>
      <c r="J7" s="8"/>
      <c r="K7" s="8"/>
      <c r="L7" s="8"/>
      <c r="M7" s="8"/>
      <c r="N7" s="8"/>
      <c r="O7" s="8"/>
    </row>
    <row r="8" spans="1:15" s="6" customFormat="1" ht="15" customHeight="1">
      <c r="A8" s="10"/>
      <c r="G8" s="81"/>
      <c r="H8" s="82"/>
      <c r="I8" s="8"/>
      <c r="J8" s="8"/>
      <c r="K8" s="8"/>
      <c r="L8" s="8"/>
      <c r="M8" s="8"/>
      <c r="N8" s="8"/>
      <c r="O8" s="8"/>
    </row>
    <row r="9" spans="6:7" s="6" customFormat="1" ht="4.5" customHeight="1">
      <c r="F9" s="8"/>
      <c r="G9" s="8"/>
    </row>
    <row r="10" spans="1:8" ht="21" customHeight="1">
      <c r="A10" s="145" t="s">
        <v>214</v>
      </c>
      <c r="B10" s="83"/>
      <c r="C10" s="83"/>
      <c r="D10" s="83"/>
      <c r="E10" s="83"/>
      <c r="F10" s="83"/>
      <c r="G10" s="83"/>
      <c r="H10" s="83"/>
    </row>
    <row r="11" spans="6:7" s="6" customFormat="1" ht="4.5" customHeight="1">
      <c r="F11" s="8"/>
      <c r="G11" s="8"/>
    </row>
    <row r="12" spans="1:5" ht="19.5" customHeight="1">
      <c r="A12" s="37" t="s">
        <v>359</v>
      </c>
      <c r="B12" s="38"/>
      <c r="C12" s="38"/>
      <c r="D12" s="38"/>
      <c r="E12" s="38"/>
    </row>
    <row r="13" spans="1:5" s="84" customFormat="1" ht="4.5" customHeight="1">
      <c r="A13" s="35"/>
      <c r="E13" s="85"/>
    </row>
    <row r="14" spans="1:8" s="98" customFormat="1" ht="33" customHeight="1">
      <c r="A14" s="98" t="s">
        <v>175</v>
      </c>
      <c r="B14" s="99" t="s">
        <v>9</v>
      </c>
      <c r="C14" s="98" t="s">
        <v>5</v>
      </c>
      <c r="D14" s="98" t="s">
        <v>39</v>
      </c>
      <c r="E14" s="100" t="s">
        <v>41</v>
      </c>
      <c r="F14" s="100" t="s">
        <v>42</v>
      </c>
      <c r="G14" s="100" t="s">
        <v>43</v>
      </c>
      <c r="H14" s="98" t="s">
        <v>40</v>
      </c>
    </row>
    <row r="15" spans="1:8" s="89" customFormat="1" ht="9.75" customHeight="1">
      <c r="A15" s="88"/>
      <c r="B15" s="88"/>
      <c r="C15" s="88"/>
      <c r="D15" s="88"/>
      <c r="E15" s="88"/>
      <c r="F15" s="88"/>
      <c r="G15" s="88"/>
      <c r="H15" s="88"/>
    </row>
    <row r="16" spans="1:8" ht="15.75" customHeight="1">
      <c r="A16" s="36" t="str">
        <f>+VARIABLES!B19</f>
        <v>Ingeniero Residente de Obra</v>
      </c>
      <c r="B16" s="142" t="str">
        <f>+VARIABLES!C19</f>
        <v>mes</v>
      </c>
      <c r="C16" s="36">
        <f>+VARIABLES!D19</f>
        <v>1</v>
      </c>
      <c r="D16" s="143">
        <f>+VARIABLES!E19</f>
        <v>18</v>
      </c>
      <c r="E16" s="36">
        <v>1</v>
      </c>
      <c r="F16" s="36">
        <f>ROUND(+D16/1.5,0)</f>
        <v>12</v>
      </c>
      <c r="G16" s="36">
        <v>900</v>
      </c>
      <c r="H16" s="36">
        <f>ROUND(C16*E16*F16*G16,2)</f>
        <v>10800</v>
      </c>
    </row>
    <row r="17" spans="1:8" ht="15.75" customHeight="1">
      <c r="A17" s="36" t="str">
        <f>+VARIABLES!B20</f>
        <v>Jefe de Oficina Ingeniería (Planeamiento y Costos)</v>
      </c>
      <c r="B17" s="142" t="str">
        <f>+VARIABLES!C20</f>
        <v>mes</v>
      </c>
      <c r="C17" s="36">
        <f>+VARIABLES!D20</f>
        <v>1</v>
      </c>
      <c r="D17" s="143">
        <f>+VARIABLES!E20</f>
        <v>18</v>
      </c>
      <c r="E17" s="36">
        <v>1</v>
      </c>
      <c r="F17" s="36">
        <f aca="true" t="shared" si="0" ref="F17:F27">ROUND(+D17/1.5,0)</f>
        <v>12</v>
      </c>
      <c r="G17" s="36">
        <v>900</v>
      </c>
      <c r="H17" s="36">
        <f aca="true" t="shared" si="1" ref="H17:H27">ROUND(C17*E17*F17*G17,2)</f>
        <v>10800</v>
      </c>
    </row>
    <row r="18" spans="1:8" ht="15.75" customHeight="1">
      <c r="A18" s="36" t="str">
        <f>+VARIABLES!B21</f>
        <v>Ing. Producción</v>
      </c>
      <c r="B18" s="142" t="str">
        <f>+VARIABLES!C21</f>
        <v>mes</v>
      </c>
      <c r="C18" s="36">
        <f>+VARIABLES!D21</f>
        <v>1</v>
      </c>
      <c r="D18" s="143">
        <f>+VARIABLES!E21</f>
        <v>18</v>
      </c>
      <c r="E18" s="36">
        <v>1</v>
      </c>
      <c r="F18" s="36">
        <f t="shared" si="0"/>
        <v>12</v>
      </c>
      <c r="G18" s="36">
        <v>900</v>
      </c>
      <c r="H18" s="36">
        <f t="shared" si="1"/>
        <v>10800</v>
      </c>
    </row>
    <row r="19" spans="1:8" ht="15.75" customHeight="1">
      <c r="A19" s="36" t="str">
        <f>+VARIABLES!B22</f>
        <v>Especialista de Suelos y Pavimentos</v>
      </c>
      <c r="B19" s="142" t="str">
        <f>+VARIABLES!C22</f>
        <v>mes</v>
      </c>
      <c r="C19" s="36">
        <f>+VARIABLES!D22</f>
        <v>1</v>
      </c>
      <c r="D19" s="143">
        <f>+VARIABLES!E22</f>
        <v>18</v>
      </c>
      <c r="E19" s="36">
        <v>1</v>
      </c>
      <c r="F19" s="36">
        <f t="shared" si="0"/>
        <v>12</v>
      </c>
      <c r="G19" s="36">
        <v>900</v>
      </c>
      <c r="H19" s="36">
        <f t="shared" si="1"/>
        <v>10800</v>
      </c>
    </row>
    <row r="20" spans="1:8" ht="15.75" customHeight="1">
      <c r="A20" s="36" t="str">
        <f>+VARIABLES!B23</f>
        <v>Especialista de Obras de Arte y Drenaje</v>
      </c>
      <c r="B20" s="142" t="str">
        <f>+VARIABLES!C23</f>
        <v>mes</v>
      </c>
      <c r="C20" s="36">
        <f>+VARIABLES!D23</f>
        <v>1</v>
      </c>
      <c r="D20" s="143">
        <f>+VARIABLES!E23</f>
        <v>18</v>
      </c>
      <c r="E20" s="36">
        <v>1</v>
      </c>
      <c r="F20" s="36">
        <f t="shared" si="0"/>
        <v>12</v>
      </c>
      <c r="G20" s="36">
        <v>900</v>
      </c>
      <c r="H20" s="36">
        <f t="shared" si="1"/>
        <v>10800</v>
      </c>
    </row>
    <row r="21" spans="1:8" ht="15.75" customHeight="1">
      <c r="A21" s="36" t="str">
        <f>+VARIABLES!B24</f>
        <v>Especialista en Impacto Ambiental </v>
      </c>
      <c r="B21" s="142" t="str">
        <f>+VARIABLES!C24</f>
        <v>mes</v>
      </c>
      <c r="C21" s="36">
        <f>+VARIABLES!D24</f>
        <v>1</v>
      </c>
      <c r="D21" s="143">
        <f>+VARIABLES!E24</f>
        <v>18</v>
      </c>
      <c r="E21" s="36">
        <v>1</v>
      </c>
      <c r="F21" s="36">
        <f t="shared" si="0"/>
        <v>12</v>
      </c>
      <c r="G21" s="36">
        <v>900</v>
      </c>
      <c r="H21" s="36">
        <f t="shared" si="1"/>
        <v>10800</v>
      </c>
    </row>
    <row r="22" spans="1:8" ht="15.75" customHeight="1">
      <c r="A22" s="36" t="str">
        <f>+VARIABLES!B25</f>
        <v>Jefe de Oficina Técnica</v>
      </c>
      <c r="B22" s="142" t="str">
        <f>+VARIABLES!C25</f>
        <v>mes</v>
      </c>
      <c r="C22" s="36">
        <f>+VARIABLES!D25</f>
        <v>1</v>
      </c>
      <c r="D22" s="143">
        <f>+VARIABLES!E25</f>
        <v>18</v>
      </c>
      <c r="E22" s="36">
        <v>1</v>
      </c>
      <c r="F22" s="36">
        <f t="shared" si="0"/>
        <v>12</v>
      </c>
      <c r="G22" s="36">
        <v>900</v>
      </c>
      <c r="H22" s="36">
        <f t="shared" si="1"/>
        <v>10800</v>
      </c>
    </row>
    <row r="23" spans="1:8" ht="15.75" customHeight="1">
      <c r="A23" s="36" t="str">
        <f>+VARIABLES!B26</f>
        <v>Ing. Responsable de Control de Calidad</v>
      </c>
      <c r="B23" s="142" t="str">
        <f>+VARIABLES!C26</f>
        <v>mes</v>
      </c>
      <c r="C23" s="36">
        <f>+VARIABLES!D26</f>
        <v>1</v>
      </c>
      <c r="D23" s="143">
        <f>+VARIABLES!E26</f>
        <v>18</v>
      </c>
      <c r="E23" s="36">
        <v>1</v>
      </c>
      <c r="F23" s="36">
        <f t="shared" si="0"/>
        <v>12</v>
      </c>
      <c r="G23" s="36">
        <v>900</v>
      </c>
      <c r="H23" s="36">
        <f t="shared" si="1"/>
        <v>10800</v>
      </c>
    </row>
    <row r="24" spans="1:8" ht="15.75" customHeight="1">
      <c r="A24" s="36" t="str">
        <f>+VARIABLES!B27</f>
        <v>Ing. Responsable de Topografía</v>
      </c>
      <c r="B24" s="142" t="str">
        <f>+VARIABLES!C27</f>
        <v>mes</v>
      </c>
      <c r="C24" s="36">
        <f>+VARIABLES!D27</f>
        <v>1</v>
      </c>
      <c r="D24" s="143">
        <f>+VARIABLES!E27</f>
        <v>18</v>
      </c>
      <c r="E24" s="36">
        <v>1</v>
      </c>
      <c r="F24" s="36">
        <f t="shared" si="0"/>
        <v>12</v>
      </c>
      <c r="G24" s="36">
        <v>900</v>
      </c>
      <c r="H24" s="36">
        <f t="shared" si="1"/>
        <v>10800</v>
      </c>
    </row>
    <row r="25" spans="1:8" ht="15.75" customHeight="1">
      <c r="A25" s="36" t="str">
        <f>+VARIABLES!B28</f>
        <v>Ing. Responsable de Contratos</v>
      </c>
      <c r="B25" s="142" t="str">
        <f>+VARIABLES!C28</f>
        <v>mes</v>
      </c>
      <c r="C25" s="36">
        <f>+VARIABLES!D28</f>
        <v>1</v>
      </c>
      <c r="D25" s="143">
        <f>+VARIABLES!E28</f>
        <v>18</v>
      </c>
      <c r="E25" s="36">
        <v>1</v>
      </c>
      <c r="F25" s="36">
        <f t="shared" si="0"/>
        <v>12</v>
      </c>
      <c r="G25" s="36">
        <v>900</v>
      </c>
      <c r="H25" s="36">
        <f t="shared" si="1"/>
        <v>10800</v>
      </c>
    </row>
    <row r="26" spans="1:8" ht="15.75" customHeight="1">
      <c r="A26" s="36" t="str">
        <f>+VARIABLES!B29</f>
        <v>Ing. Asistente de Producción</v>
      </c>
      <c r="B26" s="142" t="str">
        <f>+VARIABLES!C29</f>
        <v>mes</v>
      </c>
      <c r="C26" s="36">
        <f>+VARIABLES!D29</f>
        <v>1</v>
      </c>
      <c r="D26" s="143">
        <f>+VARIABLES!E29</f>
        <v>18</v>
      </c>
      <c r="E26" s="36">
        <v>1</v>
      </c>
      <c r="F26" s="36">
        <f t="shared" si="0"/>
        <v>12</v>
      </c>
      <c r="G26" s="36">
        <v>900</v>
      </c>
      <c r="H26" s="36">
        <f t="shared" si="1"/>
        <v>10800</v>
      </c>
    </row>
    <row r="27" spans="1:8" ht="15.75" customHeight="1">
      <c r="A27" s="36" t="str">
        <f>+VARIABLES!B46</f>
        <v>Administrador de Obra</v>
      </c>
      <c r="B27" s="142" t="str">
        <f>+VARIABLES!C46</f>
        <v>mes</v>
      </c>
      <c r="C27" s="36">
        <f>+VARIABLES!D46</f>
        <v>1</v>
      </c>
      <c r="D27" s="143">
        <f>+VARIABLES!E46</f>
        <v>18</v>
      </c>
      <c r="E27" s="36">
        <v>1</v>
      </c>
      <c r="F27" s="36">
        <f t="shared" si="0"/>
        <v>12</v>
      </c>
      <c r="G27" s="36">
        <v>900</v>
      </c>
      <c r="H27" s="36">
        <f t="shared" si="1"/>
        <v>10800</v>
      </c>
    </row>
    <row r="28" spans="1:8" ht="15.75" customHeight="1">
      <c r="A28" s="36" t="str">
        <f>+VARIABLES!B47</f>
        <v>Contador</v>
      </c>
      <c r="B28" s="142" t="str">
        <f>+VARIABLES!C47</f>
        <v>mes</v>
      </c>
      <c r="C28" s="36">
        <f>+VARIABLES!D47</f>
        <v>1</v>
      </c>
      <c r="D28" s="143">
        <f>+VARIABLES!E47</f>
        <v>18</v>
      </c>
      <c r="E28" s="36">
        <v>1</v>
      </c>
      <c r="F28" s="36">
        <f aca="true" t="shared" si="2" ref="F28:F33">ROUND(+D28/1.5,0)</f>
        <v>12</v>
      </c>
      <c r="G28" s="36">
        <v>900</v>
      </c>
      <c r="H28" s="36">
        <f aca="true" t="shared" si="3" ref="H28:H33">ROUND(C28*E28*F28*G28,2)</f>
        <v>10800</v>
      </c>
    </row>
    <row r="29" spans="1:8" ht="15.75" customHeight="1">
      <c r="A29" s="36" t="str">
        <f>+VARIABLES!B48</f>
        <v>Asistente de Impacto Ambiental: Medio Fisico Biologico</v>
      </c>
      <c r="B29" s="142" t="str">
        <f>+VARIABLES!C48</f>
        <v>mes</v>
      </c>
      <c r="C29" s="36">
        <f>+VARIABLES!D48</f>
        <v>1</v>
      </c>
      <c r="D29" s="143">
        <f>+VARIABLES!E48</f>
        <v>18</v>
      </c>
      <c r="E29" s="36">
        <v>1</v>
      </c>
      <c r="F29" s="36">
        <f t="shared" si="2"/>
        <v>12</v>
      </c>
      <c r="G29" s="36">
        <v>900</v>
      </c>
      <c r="H29" s="36">
        <f t="shared" si="3"/>
        <v>10800</v>
      </c>
    </row>
    <row r="30" spans="1:8" ht="15.75" customHeight="1">
      <c r="A30" s="36" t="str">
        <f>+VARIABLES!B49</f>
        <v>Asistente de Impacto Ambiental: Asuntos Sociales</v>
      </c>
      <c r="B30" s="142" t="str">
        <f>+VARIABLES!C49</f>
        <v>mes</v>
      </c>
      <c r="C30" s="36">
        <f>+VARIABLES!D49</f>
        <v>1</v>
      </c>
      <c r="D30" s="143">
        <f>+VARIABLES!E49</f>
        <v>18</v>
      </c>
      <c r="E30" s="36">
        <v>1</v>
      </c>
      <c r="F30" s="36">
        <f t="shared" si="2"/>
        <v>12</v>
      </c>
      <c r="G30" s="36">
        <v>900</v>
      </c>
      <c r="H30" s="36">
        <f t="shared" si="3"/>
        <v>10800</v>
      </c>
    </row>
    <row r="31" spans="1:8" ht="15.75" customHeight="1">
      <c r="A31" s="36" t="str">
        <f>+VARIABLES!B64</f>
        <v>Ing. Responsable Plantas</v>
      </c>
      <c r="B31" s="142" t="str">
        <f>+VARIABLES!C64</f>
        <v>mes</v>
      </c>
      <c r="C31" s="36">
        <f>+VARIABLES!D64</f>
        <v>1</v>
      </c>
      <c r="D31" s="143">
        <f>+VARIABLES!E64</f>
        <v>6</v>
      </c>
      <c r="E31" s="36">
        <v>1</v>
      </c>
      <c r="F31" s="36">
        <f t="shared" si="2"/>
        <v>4</v>
      </c>
      <c r="G31" s="36">
        <v>900</v>
      </c>
      <c r="H31" s="36">
        <f t="shared" si="3"/>
        <v>3600</v>
      </c>
    </row>
    <row r="32" spans="1:8" ht="15.75" customHeight="1">
      <c r="A32" s="36" t="str">
        <f>+VARIABLES!B65</f>
        <v>Ing. Responsable de Equipos</v>
      </c>
      <c r="B32" s="142" t="str">
        <f>+VARIABLES!C65</f>
        <v>mes</v>
      </c>
      <c r="C32" s="36">
        <f>+VARIABLES!D65</f>
        <v>1</v>
      </c>
      <c r="D32" s="143">
        <f>+VARIABLES!E65</f>
        <v>18</v>
      </c>
      <c r="E32" s="36">
        <v>1</v>
      </c>
      <c r="F32" s="36">
        <f t="shared" si="2"/>
        <v>12</v>
      </c>
      <c r="G32" s="36">
        <v>900</v>
      </c>
      <c r="H32" s="36">
        <f t="shared" si="3"/>
        <v>10800</v>
      </c>
    </row>
    <row r="33" spans="1:8" ht="15.75" customHeight="1">
      <c r="A33" s="36" t="str">
        <f>+VARIABLES!B66</f>
        <v>Ing. Asistente de Equipos</v>
      </c>
      <c r="B33" s="142" t="str">
        <f>+VARIABLES!C66</f>
        <v>mes</v>
      </c>
      <c r="C33" s="36">
        <f>+VARIABLES!D66</f>
        <v>1</v>
      </c>
      <c r="D33" s="143">
        <f>+VARIABLES!E66</f>
        <v>18</v>
      </c>
      <c r="E33" s="36">
        <v>1</v>
      </c>
      <c r="F33" s="36">
        <f t="shared" si="2"/>
        <v>12</v>
      </c>
      <c r="G33" s="36">
        <v>900</v>
      </c>
      <c r="H33" s="36">
        <f t="shared" si="3"/>
        <v>10800</v>
      </c>
    </row>
    <row r="34" spans="1:8" s="89" customFormat="1" ht="9.75" customHeight="1">
      <c r="A34" s="88"/>
      <c r="B34" s="88"/>
      <c r="C34" s="88"/>
      <c r="D34" s="88"/>
      <c r="E34" s="88"/>
      <c r="F34" s="88"/>
      <c r="G34" s="88"/>
      <c r="H34" s="88"/>
    </row>
    <row r="35" spans="1:8" s="39" customFormat="1" ht="19.5" customHeight="1">
      <c r="A35" s="93"/>
      <c r="B35" s="62"/>
      <c r="C35" s="62"/>
      <c r="E35" s="94"/>
      <c r="F35" s="95"/>
      <c r="G35" s="95" t="s">
        <v>116</v>
      </c>
      <c r="H35" s="101">
        <f>SUM(H16:H34)</f>
        <v>187200</v>
      </c>
    </row>
    <row r="36" ht="4.5" customHeight="1"/>
    <row r="37" spans="1:5" ht="19.5" customHeight="1">
      <c r="A37" s="37" t="s">
        <v>360</v>
      </c>
      <c r="B37" s="38"/>
      <c r="C37" s="38"/>
      <c r="D37" s="38"/>
      <c r="E37" s="38"/>
    </row>
    <row r="38" spans="1:5" s="84" customFormat="1" ht="4.5" customHeight="1">
      <c r="A38" s="35"/>
      <c r="E38" s="85"/>
    </row>
    <row r="39" spans="1:8" s="98" customFormat="1" ht="33" customHeight="1">
      <c r="A39" s="98" t="s">
        <v>175</v>
      </c>
      <c r="B39" s="99" t="s">
        <v>9</v>
      </c>
      <c r="C39" s="98" t="s">
        <v>5</v>
      </c>
      <c r="D39" s="98" t="s">
        <v>39</v>
      </c>
      <c r="E39" s="100" t="s">
        <v>41</v>
      </c>
      <c r="F39" s="100" t="s">
        <v>42</v>
      </c>
      <c r="G39" s="100" t="s">
        <v>43</v>
      </c>
      <c r="H39" s="98" t="s">
        <v>40</v>
      </c>
    </row>
    <row r="40" spans="1:8" s="89" customFormat="1" ht="9.75" customHeight="1">
      <c r="A40" s="88"/>
      <c r="B40" s="88"/>
      <c r="C40" s="88"/>
      <c r="D40" s="88"/>
      <c r="E40" s="88"/>
      <c r="F40" s="88"/>
      <c r="G40" s="88"/>
      <c r="H40" s="88"/>
    </row>
    <row r="41" spans="1:8" ht="15.75" customHeight="1">
      <c r="A41" s="47" t="str">
        <f>+VARIABLES!B30</f>
        <v>Responsable de Seguridad en Obra</v>
      </c>
      <c r="B41" s="11" t="str">
        <f>+VARIABLES!C30</f>
        <v>mes</v>
      </c>
      <c r="C41" s="47">
        <f>+VARIABLES!D30</f>
        <v>1</v>
      </c>
      <c r="D41" s="47">
        <f>+VARIABLES!E47</f>
        <v>18</v>
      </c>
      <c r="E41" s="47">
        <v>1</v>
      </c>
      <c r="F41" s="47">
        <f>ROUND(+D41/1.5,0)</f>
        <v>12</v>
      </c>
      <c r="G41" s="47">
        <v>240</v>
      </c>
      <c r="H41" s="47">
        <f>ROUND(C41*E41*F41*G41,2)</f>
        <v>2880</v>
      </c>
    </row>
    <row r="42" spans="1:8" ht="15.75" customHeight="1">
      <c r="A42" s="47" t="str">
        <f>+VARIABLES!B31</f>
        <v>Maestro Capataz General</v>
      </c>
      <c r="B42" s="11" t="str">
        <f>+VARIABLES!C53</f>
        <v>mes</v>
      </c>
      <c r="C42" s="47">
        <f>+VARIABLES!D31</f>
        <v>1</v>
      </c>
      <c r="D42" s="47">
        <f>+VARIABLES!E50</f>
        <v>18</v>
      </c>
      <c r="E42" s="47">
        <v>1</v>
      </c>
      <c r="F42" s="47">
        <f aca="true" t="shared" si="4" ref="F42:F49">ROUND(+D42/1.5,0)</f>
        <v>12</v>
      </c>
      <c r="G42" s="47">
        <v>240</v>
      </c>
      <c r="H42" s="47">
        <f aca="true" t="shared" si="5" ref="H42:H49">ROUND(C42*E42*F42*G42,2)</f>
        <v>2880</v>
      </c>
    </row>
    <row r="43" spans="1:8" ht="15.75" customHeight="1">
      <c r="A43" s="47" t="str">
        <f>+VARIABLES!B32</f>
        <v>Dibujante en Autocad</v>
      </c>
      <c r="B43" s="11" t="str">
        <f>+VARIABLES!C36</f>
        <v>mes</v>
      </c>
      <c r="C43" s="47">
        <f>+VARIABLES!D32</f>
        <v>3</v>
      </c>
      <c r="D43" s="47">
        <f>+VARIABLES!E51</f>
        <v>18</v>
      </c>
      <c r="E43" s="47">
        <v>1</v>
      </c>
      <c r="F43" s="47">
        <f t="shared" si="4"/>
        <v>12</v>
      </c>
      <c r="G43" s="47">
        <v>240</v>
      </c>
      <c r="H43" s="47">
        <f t="shared" si="5"/>
        <v>8640</v>
      </c>
    </row>
    <row r="44" spans="1:8" ht="15.75" customHeight="1">
      <c r="A44" s="47" t="str">
        <f>+VARIABLES!B33</f>
        <v>Jefe de Topografia</v>
      </c>
      <c r="B44" s="11" t="str">
        <f>+VARIABLES!C37</f>
        <v>mes</v>
      </c>
      <c r="C44" s="47">
        <f>+VARIABLES!D33</f>
        <v>1</v>
      </c>
      <c r="D44" s="47">
        <f>+VARIABLES!E52</f>
        <v>18</v>
      </c>
      <c r="E44" s="47">
        <v>1</v>
      </c>
      <c r="F44" s="47">
        <f t="shared" si="4"/>
        <v>12</v>
      </c>
      <c r="G44" s="47">
        <v>240</v>
      </c>
      <c r="H44" s="47">
        <f t="shared" si="5"/>
        <v>2880</v>
      </c>
    </row>
    <row r="45" spans="1:8" ht="15.75" customHeight="1">
      <c r="A45" s="47" t="str">
        <f>+VARIABLES!B34</f>
        <v>Topografo</v>
      </c>
      <c r="B45" s="11" t="str">
        <f>+VARIABLES!C56</f>
        <v>mes</v>
      </c>
      <c r="C45" s="47">
        <f>+VARIABLES!D34</f>
        <v>3</v>
      </c>
      <c r="D45" s="47">
        <f>+VARIABLES!E53</f>
        <v>18</v>
      </c>
      <c r="E45" s="47">
        <v>1</v>
      </c>
      <c r="F45" s="47">
        <f t="shared" si="4"/>
        <v>12</v>
      </c>
      <c r="G45" s="47">
        <v>240</v>
      </c>
      <c r="H45" s="47">
        <f t="shared" si="5"/>
        <v>8640</v>
      </c>
    </row>
    <row r="46" spans="1:8" ht="15.75" customHeight="1">
      <c r="A46" s="47" t="str">
        <f>+VARIABLES!B35</f>
        <v>Nivelador</v>
      </c>
      <c r="B46" s="11" t="str">
        <f>+VARIABLES!C31</f>
        <v>mes</v>
      </c>
      <c r="C46" s="47">
        <f>+VARIABLES!D35</f>
        <v>3</v>
      </c>
      <c r="D46" s="47">
        <f>+VARIABLES!E54</f>
        <v>18</v>
      </c>
      <c r="E46" s="47">
        <v>1</v>
      </c>
      <c r="F46" s="47">
        <f t="shared" si="4"/>
        <v>12</v>
      </c>
      <c r="G46" s="47">
        <v>240</v>
      </c>
      <c r="H46" s="47">
        <f t="shared" si="5"/>
        <v>8640</v>
      </c>
    </row>
    <row r="47" spans="1:8" ht="15.75" customHeight="1">
      <c r="A47" s="47" t="str">
        <f>+VARIABLES!B36</f>
        <v>Jefe de Laboratorio</v>
      </c>
      <c r="B47" s="11" t="str">
        <f>+VARIABLES!C30</f>
        <v>mes</v>
      </c>
      <c r="C47" s="47">
        <f>+VARIABLES!D36</f>
        <v>1</v>
      </c>
      <c r="D47" s="47">
        <f>+VARIABLES!E55</f>
        <v>18</v>
      </c>
      <c r="E47" s="47">
        <v>1</v>
      </c>
      <c r="F47" s="47">
        <f t="shared" si="4"/>
        <v>12</v>
      </c>
      <c r="G47" s="47">
        <v>240</v>
      </c>
      <c r="H47" s="47">
        <f t="shared" si="5"/>
        <v>2880</v>
      </c>
    </row>
    <row r="48" spans="1:8" ht="15.75" customHeight="1">
      <c r="A48" s="47" t="str">
        <f>+VARIABLES!B37</f>
        <v>Auxiliar de Laboratorio</v>
      </c>
      <c r="B48" s="11" t="str">
        <f>+VARIABLES!C33</f>
        <v>mes</v>
      </c>
      <c r="C48" s="47">
        <f>+VARIABLES!D37</f>
        <v>2</v>
      </c>
      <c r="D48" s="47">
        <f>+VARIABLES!E56</f>
        <v>18</v>
      </c>
      <c r="E48" s="47">
        <v>1</v>
      </c>
      <c r="F48" s="47">
        <f t="shared" si="4"/>
        <v>12</v>
      </c>
      <c r="G48" s="47">
        <v>240</v>
      </c>
      <c r="H48" s="47">
        <f t="shared" si="5"/>
        <v>5760</v>
      </c>
    </row>
    <row r="49" spans="1:8" ht="15.75" customHeight="1">
      <c r="A49" s="47" t="str">
        <f>+VARIABLES!B38</f>
        <v>Auxiliares de Costos - Tareadores</v>
      </c>
      <c r="B49" s="11" t="str">
        <f>+VARIABLES!C34</f>
        <v>mes</v>
      </c>
      <c r="C49" s="47">
        <f>+VARIABLES!D38</f>
        <v>2</v>
      </c>
      <c r="D49" s="47">
        <f>+VARIABLES!E57</f>
        <v>18</v>
      </c>
      <c r="E49" s="47">
        <v>1</v>
      </c>
      <c r="F49" s="47">
        <f t="shared" si="4"/>
        <v>12</v>
      </c>
      <c r="G49" s="47">
        <v>240</v>
      </c>
      <c r="H49" s="47">
        <f t="shared" si="5"/>
        <v>5760</v>
      </c>
    </row>
    <row r="50" spans="1:8" ht="15.75" customHeight="1">
      <c r="A50" s="47" t="str">
        <f>+VARIABLES!B50</f>
        <v>Encargado de Personal</v>
      </c>
      <c r="B50" s="11" t="str">
        <f>+VARIABLES!C50</f>
        <v>mes</v>
      </c>
      <c r="C50" s="47">
        <f>+VARIABLES!D50</f>
        <v>1</v>
      </c>
      <c r="D50" s="47">
        <f>+VARIABLES!E50</f>
        <v>18</v>
      </c>
      <c r="E50" s="47">
        <v>1</v>
      </c>
      <c r="F50" s="47">
        <f aca="true" t="shared" si="6" ref="F50:F62">ROUND(+D50/1.5,0)</f>
        <v>12</v>
      </c>
      <c r="G50" s="47">
        <v>240</v>
      </c>
      <c r="H50" s="47">
        <f>ROUND(C50*E50*F50*G50,2)</f>
        <v>2880</v>
      </c>
    </row>
    <row r="51" spans="1:8" ht="15.75" customHeight="1">
      <c r="A51" s="47" t="str">
        <f>+VARIABLES!B51</f>
        <v>Encargado de Almacén</v>
      </c>
      <c r="B51" s="11" t="str">
        <f>+VARIABLES!C51</f>
        <v>mes</v>
      </c>
      <c r="C51" s="47">
        <f>+VARIABLES!D51</f>
        <v>1</v>
      </c>
      <c r="D51" s="47">
        <f>+VARIABLES!E51</f>
        <v>18</v>
      </c>
      <c r="E51" s="47">
        <v>1</v>
      </c>
      <c r="F51" s="47">
        <f t="shared" si="6"/>
        <v>12</v>
      </c>
      <c r="G51" s="47">
        <v>240</v>
      </c>
      <c r="H51" s="47">
        <f aca="true" t="shared" si="7" ref="H51:H62">ROUND(C51*E51*F51*G51,2)</f>
        <v>2880</v>
      </c>
    </row>
    <row r="52" spans="1:8" ht="15.75" customHeight="1">
      <c r="A52" s="47" t="str">
        <f>+VARIABLES!B52</f>
        <v>Encargado de Campamento</v>
      </c>
      <c r="B52" s="11" t="str">
        <f>+VARIABLES!C52</f>
        <v>mes</v>
      </c>
      <c r="C52" s="47">
        <f>+VARIABLES!D52</f>
        <v>1</v>
      </c>
      <c r="D52" s="47">
        <f>+VARIABLES!E52</f>
        <v>18</v>
      </c>
      <c r="E52" s="47">
        <v>1</v>
      </c>
      <c r="F52" s="47">
        <f t="shared" si="6"/>
        <v>12</v>
      </c>
      <c r="G52" s="47">
        <v>240</v>
      </c>
      <c r="H52" s="47">
        <f>ROUND(C52*E52*F52*G52,2)</f>
        <v>2880</v>
      </c>
    </row>
    <row r="53" spans="1:8" ht="15.75" customHeight="1">
      <c r="A53" s="47" t="str">
        <f>+VARIABLES!B53</f>
        <v>Especialista en Sistemas</v>
      </c>
      <c r="B53" s="11" t="str">
        <f>+VARIABLES!C53</f>
        <v>mes</v>
      </c>
      <c r="C53" s="47">
        <f>+VARIABLES!D53</f>
        <v>1</v>
      </c>
      <c r="D53" s="47">
        <f>+VARIABLES!E53</f>
        <v>18</v>
      </c>
      <c r="E53" s="47">
        <v>1</v>
      </c>
      <c r="F53" s="47">
        <f t="shared" si="6"/>
        <v>12</v>
      </c>
      <c r="G53" s="47">
        <v>240</v>
      </c>
      <c r="H53" s="47">
        <f t="shared" si="7"/>
        <v>2880</v>
      </c>
    </row>
    <row r="54" spans="1:8" ht="15.75" customHeight="1">
      <c r="A54" s="47" t="str">
        <f>+VARIABLES!B67</f>
        <v>Mecánico Equipo Pesado</v>
      </c>
      <c r="B54" s="11" t="str">
        <f>+VARIABLES!C67</f>
        <v>mes</v>
      </c>
      <c r="C54" s="47">
        <f>+VARIABLES!D67</f>
        <v>1</v>
      </c>
      <c r="D54" s="47">
        <f>+VARIABLES!E67</f>
        <v>18</v>
      </c>
      <c r="E54" s="47">
        <v>1</v>
      </c>
      <c r="F54" s="47">
        <f t="shared" si="6"/>
        <v>12</v>
      </c>
      <c r="G54" s="47">
        <v>240</v>
      </c>
      <c r="H54" s="47">
        <f t="shared" si="7"/>
        <v>2880</v>
      </c>
    </row>
    <row r="55" spans="1:8" ht="15.75" customHeight="1">
      <c r="A55" s="47" t="str">
        <f>+VARIABLES!B68</f>
        <v>Mecánico Equipo Liviano</v>
      </c>
      <c r="B55" s="11" t="str">
        <f>+VARIABLES!C68</f>
        <v>mes</v>
      </c>
      <c r="C55" s="47">
        <f>+VARIABLES!D68</f>
        <v>1</v>
      </c>
      <c r="D55" s="47">
        <f>+VARIABLES!E68</f>
        <v>18</v>
      </c>
      <c r="E55" s="47">
        <v>1</v>
      </c>
      <c r="F55" s="47">
        <f t="shared" si="6"/>
        <v>12</v>
      </c>
      <c r="G55" s="47">
        <v>240</v>
      </c>
      <c r="H55" s="47">
        <f t="shared" si="7"/>
        <v>2880</v>
      </c>
    </row>
    <row r="56" spans="1:8" ht="15.75" customHeight="1">
      <c r="A56" s="47" t="str">
        <f>+VARIABLES!B69</f>
        <v>Electricista</v>
      </c>
      <c r="B56" s="11" t="str">
        <f>+VARIABLES!C69</f>
        <v>mes</v>
      </c>
      <c r="C56" s="47">
        <f>+VARIABLES!D69</f>
        <v>1</v>
      </c>
      <c r="D56" s="47">
        <f>+VARIABLES!E69</f>
        <v>18</v>
      </c>
      <c r="E56" s="47">
        <v>1</v>
      </c>
      <c r="F56" s="47">
        <f t="shared" si="6"/>
        <v>12</v>
      </c>
      <c r="G56" s="47">
        <v>240</v>
      </c>
      <c r="H56" s="47">
        <f t="shared" si="7"/>
        <v>2880</v>
      </c>
    </row>
    <row r="57" spans="1:8" ht="15.75" customHeight="1">
      <c r="A57" s="47" t="str">
        <f>+VARIABLES!B70</f>
        <v>Soldador</v>
      </c>
      <c r="B57" s="11" t="str">
        <f>+VARIABLES!C70</f>
        <v>mes</v>
      </c>
      <c r="C57" s="47">
        <f>+VARIABLES!D70</f>
        <v>1</v>
      </c>
      <c r="D57" s="47">
        <f>+VARIABLES!E70</f>
        <v>18</v>
      </c>
      <c r="E57" s="47">
        <v>1</v>
      </c>
      <c r="F57" s="47">
        <f t="shared" si="6"/>
        <v>12</v>
      </c>
      <c r="G57" s="47">
        <v>240</v>
      </c>
      <c r="H57" s="47">
        <f t="shared" si="7"/>
        <v>2880</v>
      </c>
    </row>
    <row r="58" spans="1:8" ht="15.75" customHeight="1">
      <c r="A58" s="47" t="str">
        <f>+VARIABLES!B71</f>
        <v>Tornero</v>
      </c>
      <c r="B58" s="11" t="str">
        <f>+VARIABLES!C71</f>
        <v>mes</v>
      </c>
      <c r="C58" s="47">
        <f>+VARIABLES!D71</f>
        <v>1</v>
      </c>
      <c r="D58" s="47">
        <f>+VARIABLES!E71</f>
        <v>18</v>
      </c>
      <c r="E58" s="47">
        <v>1</v>
      </c>
      <c r="F58" s="47">
        <f t="shared" si="6"/>
        <v>12</v>
      </c>
      <c r="G58" s="47">
        <v>240</v>
      </c>
      <c r="H58" s="47">
        <f t="shared" si="7"/>
        <v>2880</v>
      </c>
    </row>
    <row r="59" spans="1:8" ht="15.75" customHeight="1">
      <c r="A59" s="47" t="str">
        <f>+VARIABLES!B72</f>
        <v>Lubricador</v>
      </c>
      <c r="B59" s="11" t="str">
        <f>+VARIABLES!C72</f>
        <v>mes</v>
      </c>
      <c r="C59" s="47">
        <f>+VARIABLES!D72</f>
        <v>1</v>
      </c>
      <c r="D59" s="47">
        <f>+VARIABLES!E72</f>
        <v>18</v>
      </c>
      <c r="E59" s="47">
        <v>1</v>
      </c>
      <c r="F59" s="47">
        <f t="shared" si="6"/>
        <v>12</v>
      </c>
      <c r="G59" s="47">
        <v>240</v>
      </c>
      <c r="H59" s="47">
        <f t="shared" si="7"/>
        <v>2880</v>
      </c>
    </row>
    <row r="60" spans="1:8" ht="15.75" customHeight="1">
      <c r="A60" s="47" t="str">
        <f>+VARIABLES!B73</f>
        <v>Llantero</v>
      </c>
      <c r="B60" s="11" t="str">
        <f>+VARIABLES!C73</f>
        <v>mes</v>
      </c>
      <c r="C60" s="47">
        <f>+VARIABLES!D73</f>
        <v>1</v>
      </c>
      <c r="D60" s="47">
        <f>+VARIABLES!E73</f>
        <v>18</v>
      </c>
      <c r="E60" s="47">
        <v>1</v>
      </c>
      <c r="F60" s="47">
        <f t="shared" si="6"/>
        <v>12</v>
      </c>
      <c r="G60" s="47">
        <v>240</v>
      </c>
      <c r="H60" s="47">
        <f t="shared" si="7"/>
        <v>2880</v>
      </c>
    </row>
    <row r="61" spans="1:8" ht="15.75" customHeight="1">
      <c r="A61" s="47" t="s">
        <v>362</v>
      </c>
      <c r="B61" s="11" t="str">
        <f>+VARIABLES!C72</f>
        <v>mes</v>
      </c>
      <c r="C61" s="47">
        <f>+VARIABLES!D115</f>
        <v>15</v>
      </c>
      <c r="D61" s="97">
        <f>+VARIABLES!E72</f>
        <v>18</v>
      </c>
      <c r="E61" s="47">
        <v>1</v>
      </c>
      <c r="F61" s="47">
        <f>ROUND(+D61/1.5,0)</f>
        <v>12</v>
      </c>
      <c r="G61" s="47">
        <v>240</v>
      </c>
      <c r="H61" s="47">
        <f>ROUND(C61*E61*F61*G61,2)</f>
        <v>43200</v>
      </c>
    </row>
    <row r="62" spans="1:8" ht="15.75" customHeight="1">
      <c r="A62" s="47" t="s">
        <v>361</v>
      </c>
      <c r="B62" s="11" t="s">
        <v>18</v>
      </c>
      <c r="C62" s="47">
        <f>60+C61</f>
        <v>75</v>
      </c>
      <c r="D62" s="97">
        <f>+VARIABLES!E73</f>
        <v>18</v>
      </c>
      <c r="E62" s="47">
        <v>1</v>
      </c>
      <c r="F62" s="47">
        <f t="shared" si="6"/>
        <v>12</v>
      </c>
      <c r="G62" s="47">
        <v>240</v>
      </c>
      <c r="H62" s="47">
        <f t="shared" si="7"/>
        <v>216000</v>
      </c>
    </row>
    <row r="63" spans="1:8" s="89" customFormat="1" ht="4.5" customHeight="1">
      <c r="A63" s="88"/>
      <c r="B63" s="88"/>
      <c r="C63" s="88"/>
      <c r="D63" s="88"/>
      <c r="E63" s="88"/>
      <c r="F63" s="88"/>
      <c r="G63" s="88"/>
      <c r="H63" s="88"/>
    </row>
    <row r="64" spans="1:8" s="39" customFormat="1" ht="19.5" customHeight="1">
      <c r="A64" s="93"/>
      <c r="B64" s="62"/>
      <c r="C64" s="62"/>
      <c r="E64" s="94"/>
      <c r="F64" s="95"/>
      <c r="G64" s="95" t="s">
        <v>116</v>
      </c>
      <c r="H64" s="101">
        <f>SUM(H41:H63)</f>
        <v>339840</v>
      </c>
    </row>
    <row r="66" spans="1:5" ht="19.5" customHeight="1">
      <c r="A66" s="37" t="s">
        <v>450</v>
      </c>
      <c r="B66" s="38"/>
      <c r="C66" s="38"/>
      <c r="D66" s="38"/>
      <c r="E66" s="38"/>
    </row>
    <row r="67" spans="1:5" s="84" customFormat="1" ht="4.5" customHeight="1">
      <c r="A67" s="35"/>
      <c r="E67" s="85"/>
    </row>
    <row r="68" spans="1:8" s="98" customFormat="1" ht="33" customHeight="1">
      <c r="A68" s="98" t="s">
        <v>175</v>
      </c>
      <c r="B68" s="99" t="s">
        <v>9</v>
      </c>
      <c r="C68" s="98" t="s">
        <v>5</v>
      </c>
      <c r="D68" s="98" t="s">
        <v>39</v>
      </c>
      <c r="E68" s="100" t="s">
        <v>41</v>
      </c>
      <c r="F68" s="100" t="s">
        <v>42</v>
      </c>
      <c r="G68" s="100" t="s">
        <v>43</v>
      </c>
      <c r="H68" s="98" t="s">
        <v>40</v>
      </c>
    </row>
    <row r="69" spans="1:8" s="89" customFormat="1" ht="9.75" customHeight="1">
      <c r="A69" s="88"/>
      <c r="B69" s="88"/>
      <c r="C69" s="88"/>
      <c r="D69" s="88"/>
      <c r="E69" s="88"/>
      <c r="F69" s="88"/>
      <c r="G69" s="88"/>
      <c r="H69" s="88"/>
    </row>
    <row r="70" spans="1:8" ht="15.75" customHeight="1">
      <c r="A70" s="47" t="str">
        <f>+VARIABLES!B39</f>
        <v>Ayudante de Topografía (zona)</v>
      </c>
      <c r="B70" s="11" t="str">
        <f>+VARIABLES!C39</f>
        <v>mes</v>
      </c>
      <c r="C70" s="47">
        <f>+VARIABLES!D39</f>
        <v>12</v>
      </c>
      <c r="D70" s="47">
        <f>+VARIABLES!E39</f>
        <v>17</v>
      </c>
      <c r="E70" s="144">
        <v>0</v>
      </c>
      <c r="F70" s="144">
        <v>0</v>
      </c>
      <c r="G70" s="144">
        <v>0</v>
      </c>
      <c r="H70" s="144">
        <v>0</v>
      </c>
    </row>
    <row r="71" spans="1:8" ht="15.75" customHeight="1">
      <c r="A71" s="47" t="str">
        <f>+VARIABLES!B40</f>
        <v>Ayudante de Nivelación (zona)</v>
      </c>
      <c r="B71" s="11" t="str">
        <f>+VARIABLES!C40</f>
        <v>mes</v>
      </c>
      <c r="C71" s="47">
        <f>+VARIABLES!D40</f>
        <v>9</v>
      </c>
      <c r="D71" s="47">
        <f>+VARIABLES!E40</f>
        <v>17</v>
      </c>
      <c r="E71" s="144">
        <v>0</v>
      </c>
      <c r="F71" s="144">
        <v>0</v>
      </c>
      <c r="G71" s="144">
        <v>0</v>
      </c>
      <c r="H71" s="144">
        <v>0</v>
      </c>
    </row>
    <row r="72" spans="1:8" ht="15.75" customHeight="1">
      <c r="A72" s="47" t="str">
        <f>+VARIABLES!B41</f>
        <v>Ayudante de Laboratorio (zona)</v>
      </c>
      <c r="B72" s="11" t="str">
        <f>+VARIABLES!C41</f>
        <v>mes</v>
      </c>
      <c r="C72" s="47">
        <f>+VARIABLES!D41</f>
        <v>3</v>
      </c>
      <c r="D72" s="47">
        <f>+VARIABLES!E41</f>
        <v>17</v>
      </c>
      <c r="E72" s="144">
        <v>0</v>
      </c>
      <c r="F72" s="144">
        <v>0</v>
      </c>
      <c r="G72" s="144">
        <v>0</v>
      </c>
      <c r="H72" s="144">
        <v>0</v>
      </c>
    </row>
    <row r="73" spans="1:8" ht="15.75" customHeight="1">
      <c r="A73" s="47" t="str">
        <f>+VARIABLES!B42</f>
        <v>Señaleros (zona)</v>
      </c>
      <c r="B73" s="11" t="str">
        <f>+VARIABLES!C42</f>
        <v>mes</v>
      </c>
      <c r="C73" s="47">
        <f>+VARIABLES!D42</f>
        <v>12</v>
      </c>
      <c r="D73" s="47">
        <f>+VARIABLES!E42</f>
        <v>18</v>
      </c>
      <c r="E73" s="144">
        <v>0</v>
      </c>
      <c r="F73" s="144">
        <v>0</v>
      </c>
      <c r="G73" s="144">
        <v>0</v>
      </c>
      <c r="H73" s="144">
        <v>0</v>
      </c>
    </row>
    <row r="74" spans="1:8" ht="15.75" customHeight="1">
      <c r="A74" s="47" t="str">
        <f>+VARIABLES!B54</f>
        <v>Auxiliar Administrativo (zona)</v>
      </c>
      <c r="B74" s="11" t="str">
        <f>+VARIABLES!C54</f>
        <v>mes</v>
      </c>
      <c r="C74" s="47">
        <f>+VARIABLES!D54</f>
        <v>1</v>
      </c>
      <c r="D74" s="47">
        <f>+VARIABLES!E54</f>
        <v>18</v>
      </c>
      <c r="E74" s="144">
        <v>0</v>
      </c>
      <c r="F74" s="144">
        <v>0</v>
      </c>
      <c r="G74" s="144">
        <v>0</v>
      </c>
      <c r="H74" s="144">
        <v>0</v>
      </c>
    </row>
    <row r="75" spans="1:8" ht="15.75" customHeight="1">
      <c r="A75" s="47" t="str">
        <f>+VARIABLES!B55</f>
        <v>Ayudante de Almacén (zona)</v>
      </c>
      <c r="B75" s="11" t="str">
        <f>+VARIABLES!C55</f>
        <v>mes</v>
      </c>
      <c r="C75" s="47">
        <f>+VARIABLES!D55</f>
        <v>1</v>
      </c>
      <c r="D75" s="47">
        <f>+VARIABLES!E55</f>
        <v>18</v>
      </c>
      <c r="E75" s="144">
        <v>0</v>
      </c>
      <c r="F75" s="144">
        <v>0</v>
      </c>
      <c r="G75" s="144">
        <v>0</v>
      </c>
      <c r="H75" s="144">
        <v>0</v>
      </c>
    </row>
    <row r="76" spans="1:8" ht="15.75" customHeight="1">
      <c r="A76" s="47" t="str">
        <f>+VARIABLES!B56</f>
        <v>Técnico en Enfermería (zona)</v>
      </c>
      <c r="B76" s="11" t="str">
        <f>+VARIABLES!C56</f>
        <v>mes</v>
      </c>
      <c r="C76" s="47">
        <f>+VARIABLES!D56</f>
        <v>1</v>
      </c>
      <c r="D76" s="47">
        <f>+VARIABLES!E56</f>
        <v>18</v>
      </c>
      <c r="E76" s="144">
        <v>0</v>
      </c>
      <c r="F76" s="144">
        <v>0</v>
      </c>
      <c r="G76" s="144">
        <v>0</v>
      </c>
      <c r="H76" s="144">
        <v>0</v>
      </c>
    </row>
    <row r="77" spans="1:8" ht="15.75" customHeight="1">
      <c r="A77" s="47" t="str">
        <f>+VARIABLES!B57</f>
        <v>Secretaria (zona)</v>
      </c>
      <c r="B77" s="11" t="str">
        <f>+VARIABLES!C57</f>
        <v>mes</v>
      </c>
      <c r="C77" s="47">
        <f>+VARIABLES!D57</f>
        <v>1</v>
      </c>
      <c r="D77" s="47">
        <f>+VARIABLES!E57</f>
        <v>18</v>
      </c>
      <c r="E77" s="144">
        <v>0</v>
      </c>
      <c r="F77" s="144">
        <v>0</v>
      </c>
      <c r="G77" s="144">
        <v>0</v>
      </c>
      <c r="H77" s="144">
        <v>0</v>
      </c>
    </row>
    <row r="78" spans="1:8" ht="15.75" customHeight="1">
      <c r="A78" s="47" t="str">
        <f>+VARIABLES!B58</f>
        <v>Conserje (zona)</v>
      </c>
      <c r="B78" s="11" t="str">
        <f>+VARIABLES!C58</f>
        <v>mes</v>
      </c>
      <c r="C78" s="47">
        <f>+VARIABLES!D58</f>
        <v>1</v>
      </c>
      <c r="D78" s="47">
        <f>+VARIABLES!E58</f>
        <v>18</v>
      </c>
      <c r="E78" s="144">
        <v>0</v>
      </c>
      <c r="F78" s="144">
        <v>0</v>
      </c>
      <c r="G78" s="144">
        <v>0</v>
      </c>
      <c r="H78" s="144">
        <v>0</v>
      </c>
    </row>
    <row r="79" spans="1:8" ht="15.75" customHeight="1">
      <c r="A79" s="47" t="str">
        <f>+VARIABLES!B59</f>
        <v>Mantenimiento y Limpieza (zona)</v>
      </c>
      <c r="B79" s="11" t="str">
        <f>+VARIABLES!C59</f>
        <v>mes</v>
      </c>
      <c r="C79" s="47">
        <f>+VARIABLES!D59</f>
        <v>1</v>
      </c>
      <c r="D79" s="47">
        <f>+VARIABLES!E59</f>
        <v>18</v>
      </c>
      <c r="E79" s="144">
        <v>0</v>
      </c>
      <c r="F79" s="144">
        <v>0</v>
      </c>
      <c r="G79" s="144">
        <v>0</v>
      </c>
      <c r="H79" s="144">
        <v>0</v>
      </c>
    </row>
    <row r="80" spans="1:8" ht="15.75" customHeight="1">
      <c r="A80" s="47" t="str">
        <f>+VARIABLES!B60</f>
        <v>Guardianes 7x 3 Turnos (zona)</v>
      </c>
      <c r="B80" s="11" t="str">
        <f>+VARIABLES!C60</f>
        <v>mes</v>
      </c>
      <c r="C80" s="47">
        <f>+VARIABLES!D60</f>
        <v>21</v>
      </c>
      <c r="D80" s="47">
        <f>+VARIABLES!E60</f>
        <v>18</v>
      </c>
      <c r="E80" s="144">
        <v>0</v>
      </c>
      <c r="F80" s="144">
        <v>0</v>
      </c>
      <c r="G80" s="144">
        <v>0</v>
      </c>
      <c r="H80" s="144">
        <v>0</v>
      </c>
    </row>
    <row r="81" spans="1:8" ht="15.75" customHeight="1">
      <c r="A81" s="47" t="str">
        <f>+VARIABLES!B74</f>
        <v>Ayudantes (zona)</v>
      </c>
      <c r="B81" s="11" t="str">
        <f>+VARIABLES!C74</f>
        <v>mes</v>
      </c>
      <c r="C81" s="47">
        <f>+VARIABLES!D74</f>
        <v>7</v>
      </c>
      <c r="D81" s="47">
        <f>+VARIABLES!E74</f>
        <v>18</v>
      </c>
      <c r="E81" s="144">
        <v>0</v>
      </c>
      <c r="F81" s="144">
        <v>0</v>
      </c>
      <c r="G81" s="144">
        <v>0</v>
      </c>
      <c r="H81" s="144">
        <v>0</v>
      </c>
    </row>
    <row r="82" spans="1:8" s="89" customFormat="1" ht="4.5" customHeight="1">
      <c r="A82" s="88"/>
      <c r="B82" s="88"/>
      <c r="C82" s="88"/>
      <c r="D82" s="88"/>
      <c r="E82" s="88"/>
      <c r="F82" s="88"/>
      <c r="G82" s="88"/>
      <c r="H82" s="88"/>
    </row>
    <row r="83" spans="1:8" s="39" customFormat="1" ht="19.5" customHeight="1">
      <c r="A83" s="93"/>
      <c r="B83" s="62"/>
      <c r="C83" s="62"/>
      <c r="E83" s="94"/>
      <c r="F83" s="95"/>
      <c r="G83" s="95" t="s">
        <v>116</v>
      </c>
      <c r="H83" s="101">
        <f>SUM(H70:H82)</f>
        <v>0</v>
      </c>
    </row>
  </sheetData>
  <printOptions horizontalCentered="1"/>
  <pageMargins left="0.7874015748031497" right="0.5905511811023623" top="0.5905511811023623" bottom="1.1811023622047245" header="0" footer="0.2755905511811024"/>
  <pageSetup horizontalDpi="600" verticalDpi="600" orientation="portrait" paperSize="9" scale="75" r:id="rId1"/>
  <headerFooter alignWithMargins="0">
    <oddFooter>&amp;C&amp;8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99"/>
  <sheetViews>
    <sheetView tabSelected="1" view="pageBreakPreview" zoomScaleNormal="50" zoomScaleSheetLayoutView="100" workbookViewId="0" topLeftCell="A34">
      <selection activeCell="F4" sqref="F4"/>
    </sheetView>
  </sheetViews>
  <sheetFormatPr defaultColWidth="12.57421875" defaultRowHeight="12.75"/>
  <cols>
    <col min="1" max="1" width="49.140625" style="10" customWidth="1"/>
    <col min="2" max="2" width="8.7109375" style="10" customWidth="1"/>
    <col min="3" max="4" width="10.7109375" style="10" customWidth="1"/>
    <col min="5" max="7" width="12.7109375" style="10" customWidth="1"/>
    <col min="8" max="16384" width="12.57421875" style="10" customWidth="1"/>
  </cols>
  <sheetData>
    <row r="1" spans="1:28" s="6" customFormat="1" ht="16.5">
      <c r="A1" s="33" t="s">
        <v>491</v>
      </c>
      <c r="B1" s="5" t="s">
        <v>492</v>
      </c>
      <c r="C1" s="48"/>
      <c r="J1" s="7"/>
      <c r="O1" s="8"/>
      <c r="AB1" s="7"/>
    </row>
    <row r="2" spans="1:28" s="6" customFormat="1" ht="16.5">
      <c r="A2" s="33"/>
      <c r="B2" s="5" t="s">
        <v>493</v>
      </c>
      <c r="C2" s="48"/>
      <c r="G2" s="9"/>
      <c r="K2" s="7"/>
      <c r="L2" s="7"/>
      <c r="AA2" s="7"/>
      <c r="AB2" s="7"/>
    </row>
    <row r="3" spans="1:28" s="6" customFormat="1" ht="16.5">
      <c r="A3" s="5" t="s">
        <v>494</v>
      </c>
      <c r="B3" s="5" t="s">
        <v>495</v>
      </c>
      <c r="C3" s="34"/>
      <c r="G3" s="9"/>
      <c r="I3" s="10"/>
      <c r="K3" s="7"/>
      <c r="L3" s="7"/>
      <c r="AA3" s="7"/>
      <c r="AB3" s="7"/>
    </row>
    <row r="4" spans="1:15" s="6" customFormat="1" ht="16.5">
      <c r="A4" s="33" t="s">
        <v>496</v>
      </c>
      <c r="B4" s="5" t="s">
        <v>497</v>
      </c>
      <c r="C4" s="34"/>
      <c r="O4" s="8"/>
    </row>
    <row r="5" spans="7:15" s="6" customFormat="1" ht="11.25" customHeight="1">
      <c r="G5" s="8"/>
      <c r="H5" s="8"/>
      <c r="I5" s="8"/>
      <c r="J5" s="8"/>
      <c r="K5" s="8"/>
      <c r="L5" s="8"/>
      <c r="M5" s="8"/>
      <c r="N5" s="8"/>
      <c r="O5" s="8"/>
    </row>
    <row r="6" spans="1:15" s="80" customFormat="1" ht="24" customHeight="1">
      <c r="A6" s="76" t="s">
        <v>270</v>
      </c>
      <c r="B6" s="77"/>
      <c r="C6" s="77"/>
      <c r="D6" s="77"/>
      <c r="E6" s="77"/>
      <c r="F6" s="77"/>
      <c r="G6" s="77"/>
      <c r="H6" s="77"/>
      <c r="I6" s="77"/>
      <c r="J6" s="77"/>
      <c r="K6" s="78"/>
      <c r="L6" s="78"/>
      <c r="M6" s="78"/>
      <c r="N6" s="79"/>
      <c r="O6" s="79"/>
    </row>
    <row r="7" spans="7:15" s="6" customFormat="1" ht="7.5" customHeight="1">
      <c r="G7" s="8"/>
      <c r="H7" s="8"/>
      <c r="I7" s="8"/>
      <c r="J7" s="8"/>
      <c r="K7" s="8"/>
      <c r="L7" s="8"/>
      <c r="M7" s="8"/>
      <c r="N7" s="8"/>
      <c r="O7" s="8"/>
    </row>
    <row r="8" spans="1:15" s="6" customFormat="1" ht="15" customHeight="1">
      <c r="A8" s="10"/>
      <c r="G8" s="8"/>
      <c r="H8" s="8"/>
      <c r="I8" s="8"/>
      <c r="J8" s="8"/>
      <c r="K8" s="8"/>
      <c r="L8" s="8"/>
      <c r="M8" s="8"/>
      <c r="N8" s="8"/>
      <c r="O8" s="8"/>
    </row>
    <row r="9" spans="1:15" s="6" customFormat="1" ht="15" customHeight="1">
      <c r="A9" s="10"/>
      <c r="G9" s="81"/>
      <c r="H9" s="82"/>
      <c r="I9" s="8"/>
      <c r="J9" s="8"/>
      <c r="K9" s="8"/>
      <c r="L9" s="8"/>
      <c r="M9" s="8"/>
      <c r="N9" s="8"/>
      <c r="O9" s="8"/>
    </row>
    <row r="10" spans="6:7" s="6" customFormat="1" ht="4.5" customHeight="1">
      <c r="F10" s="8"/>
      <c r="G10" s="8"/>
    </row>
    <row r="11" spans="1:7" ht="15" customHeight="1">
      <c r="A11" s="153" t="s">
        <v>38</v>
      </c>
      <c r="B11" s="153"/>
      <c r="C11" s="153"/>
      <c r="D11" s="153"/>
      <c r="E11" s="153"/>
      <c r="F11" s="153"/>
      <c r="G11" s="153"/>
    </row>
    <row r="12" spans="6:7" s="6" customFormat="1" ht="4.5" customHeight="1">
      <c r="F12" s="8"/>
      <c r="G12" s="8"/>
    </row>
    <row r="13" spans="1:5" ht="16.5">
      <c r="A13" s="37" t="s">
        <v>114</v>
      </c>
      <c r="B13" s="38"/>
      <c r="C13" s="38"/>
      <c r="D13" s="38"/>
      <c r="E13" s="38"/>
    </row>
    <row r="14" spans="1:5" s="84" customFormat="1" ht="4.5" customHeight="1">
      <c r="A14" s="35"/>
      <c r="E14" s="85"/>
    </row>
    <row r="15" spans="1:7" s="86" customFormat="1" ht="15" customHeight="1">
      <c r="A15" s="86" t="s">
        <v>175</v>
      </c>
      <c r="B15" s="87" t="s">
        <v>9</v>
      </c>
      <c r="C15" s="86" t="s">
        <v>5</v>
      </c>
      <c r="D15" s="86" t="s">
        <v>39</v>
      </c>
      <c r="E15" s="86" t="s">
        <v>176</v>
      </c>
      <c r="F15" s="86" t="s">
        <v>363</v>
      </c>
      <c r="G15" s="86" t="s">
        <v>40</v>
      </c>
    </row>
    <row r="16" spans="1:7" s="89" customFormat="1" ht="6" customHeight="1">
      <c r="A16" s="88"/>
      <c r="B16" s="88"/>
      <c r="C16" s="88"/>
      <c r="D16" s="88"/>
      <c r="E16" s="88"/>
      <c r="F16" s="88"/>
      <c r="G16" s="88"/>
    </row>
    <row r="17" spans="1:7" ht="15" customHeight="1">
      <c r="A17" s="36" t="str">
        <f>+VARIABLES!B19</f>
        <v>Ingeniero Residente de Obra</v>
      </c>
      <c r="B17" s="11" t="str">
        <f>+movilidad!B16</f>
        <v>mes</v>
      </c>
      <c r="C17" s="47">
        <f>+movilidad!C16</f>
        <v>1</v>
      </c>
      <c r="D17" s="90">
        <f>+movilidad!D16</f>
        <v>18</v>
      </c>
      <c r="E17" s="47">
        <f>ROUND(C17*D17*30-movilidad!F16*7,2)</f>
        <v>456</v>
      </c>
      <c r="F17" s="47">
        <v>24</v>
      </c>
      <c r="G17" s="47">
        <f>ROUND(E17*F17,2)</f>
        <v>10944</v>
      </c>
    </row>
    <row r="18" spans="1:7" ht="15" customHeight="1">
      <c r="A18" s="36" t="str">
        <f>+VARIABLES!B20</f>
        <v>Jefe de Oficina Ingeniería (Planeamiento y Costos)</v>
      </c>
      <c r="B18" s="11" t="str">
        <f>+movilidad!B17</f>
        <v>mes</v>
      </c>
      <c r="C18" s="47">
        <f>+movilidad!C17</f>
        <v>1</v>
      </c>
      <c r="D18" s="90">
        <f>+movilidad!D17</f>
        <v>18</v>
      </c>
      <c r="E18" s="47">
        <f>ROUND(C18*D18*30-movilidad!F17*7,2)</f>
        <v>456</v>
      </c>
      <c r="F18" s="47">
        <v>24</v>
      </c>
      <c r="G18" s="47">
        <f aca="true" t="shared" si="0" ref="G18:G34">ROUND(E18*F18,2)</f>
        <v>10944</v>
      </c>
    </row>
    <row r="19" spans="1:7" ht="15" customHeight="1">
      <c r="A19" s="36" t="str">
        <f>+VARIABLES!B21</f>
        <v>Ing. Producción</v>
      </c>
      <c r="B19" s="11" t="str">
        <f>+movilidad!B18</f>
        <v>mes</v>
      </c>
      <c r="C19" s="47">
        <f>+movilidad!C18</f>
        <v>1</v>
      </c>
      <c r="D19" s="90">
        <f>+movilidad!D18</f>
        <v>18</v>
      </c>
      <c r="E19" s="47">
        <f>ROUND(C19*D19*30-movilidad!F18*7,2)</f>
        <v>456</v>
      </c>
      <c r="F19" s="47">
        <v>24</v>
      </c>
      <c r="G19" s="47">
        <f t="shared" si="0"/>
        <v>10944</v>
      </c>
    </row>
    <row r="20" spans="1:7" ht="15" customHeight="1">
      <c r="A20" s="36" t="str">
        <f>+VARIABLES!B22</f>
        <v>Especialista de Suelos y Pavimentos</v>
      </c>
      <c r="B20" s="11" t="str">
        <f>+movilidad!B19</f>
        <v>mes</v>
      </c>
      <c r="C20" s="47">
        <f>+movilidad!C19</f>
        <v>1</v>
      </c>
      <c r="D20" s="90">
        <f>+movilidad!D19</f>
        <v>18</v>
      </c>
      <c r="E20" s="47">
        <f>ROUND(C20*D20*30-movilidad!F19*7,2)</f>
        <v>456</v>
      </c>
      <c r="F20" s="47">
        <v>24</v>
      </c>
      <c r="G20" s="47">
        <f t="shared" si="0"/>
        <v>10944</v>
      </c>
    </row>
    <row r="21" spans="1:7" ht="15" customHeight="1">
      <c r="A21" s="36" t="str">
        <f>+VARIABLES!B23</f>
        <v>Especialista de Obras de Arte y Drenaje</v>
      </c>
      <c r="B21" s="11" t="str">
        <f>+movilidad!B20</f>
        <v>mes</v>
      </c>
      <c r="C21" s="47">
        <f>+movilidad!C20</f>
        <v>1</v>
      </c>
      <c r="D21" s="90">
        <f>+movilidad!D20</f>
        <v>18</v>
      </c>
      <c r="E21" s="47">
        <f>ROUND(C21*D21*30-movilidad!F20*7,2)</f>
        <v>456</v>
      </c>
      <c r="F21" s="47">
        <v>24</v>
      </c>
      <c r="G21" s="47">
        <f t="shared" si="0"/>
        <v>10944</v>
      </c>
    </row>
    <row r="22" spans="1:7" ht="15" customHeight="1">
      <c r="A22" s="36" t="str">
        <f>+VARIABLES!B24</f>
        <v>Especialista en Impacto Ambiental </v>
      </c>
      <c r="B22" s="11" t="str">
        <f>+movilidad!B21</f>
        <v>mes</v>
      </c>
      <c r="C22" s="47">
        <f>+movilidad!C21</f>
        <v>1</v>
      </c>
      <c r="D22" s="90">
        <f>+movilidad!D21</f>
        <v>18</v>
      </c>
      <c r="E22" s="47">
        <f>ROUND(C22*D22*30-movilidad!F21*7,2)</f>
        <v>456</v>
      </c>
      <c r="F22" s="47">
        <v>24</v>
      </c>
      <c r="G22" s="47">
        <f t="shared" si="0"/>
        <v>10944</v>
      </c>
    </row>
    <row r="23" spans="1:7" ht="15" customHeight="1">
      <c r="A23" s="36" t="str">
        <f>+VARIABLES!B25</f>
        <v>Jefe de Oficina Técnica</v>
      </c>
      <c r="B23" s="11" t="str">
        <f>+movilidad!B22</f>
        <v>mes</v>
      </c>
      <c r="C23" s="47">
        <f>+movilidad!C22</f>
        <v>1</v>
      </c>
      <c r="D23" s="90">
        <f>+movilidad!D22</f>
        <v>18</v>
      </c>
      <c r="E23" s="47">
        <f>ROUND(C23*D23*30-movilidad!F22*7,2)</f>
        <v>456</v>
      </c>
      <c r="F23" s="47">
        <v>24</v>
      </c>
      <c r="G23" s="47">
        <f t="shared" si="0"/>
        <v>10944</v>
      </c>
    </row>
    <row r="24" spans="1:7" ht="15" customHeight="1">
      <c r="A24" s="36" t="str">
        <f>+VARIABLES!B26</f>
        <v>Ing. Responsable de Control de Calidad</v>
      </c>
      <c r="B24" s="11" t="str">
        <f>+movilidad!B23</f>
        <v>mes</v>
      </c>
      <c r="C24" s="47">
        <f>+movilidad!C23</f>
        <v>1</v>
      </c>
      <c r="D24" s="90">
        <f>+movilidad!D23</f>
        <v>18</v>
      </c>
      <c r="E24" s="47">
        <f>ROUND(C24*D24*30-movilidad!F23*7,2)</f>
        <v>456</v>
      </c>
      <c r="F24" s="47">
        <v>24</v>
      </c>
      <c r="G24" s="47">
        <f t="shared" si="0"/>
        <v>10944</v>
      </c>
    </row>
    <row r="25" spans="1:7" ht="15" customHeight="1">
      <c r="A25" s="36" t="str">
        <f>+VARIABLES!B27</f>
        <v>Ing. Responsable de Topografía</v>
      </c>
      <c r="B25" s="11" t="str">
        <f>+movilidad!B24</f>
        <v>mes</v>
      </c>
      <c r="C25" s="47">
        <f>+movilidad!C24</f>
        <v>1</v>
      </c>
      <c r="D25" s="90">
        <f>+movilidad!D24</f>
        <v>18</v>
      </c>
      <c r="E25" s="47">
        <f>ROUND(C25*D25*30-movilidad!F24*7,2)</f>
        <v>456</v>
      </c>
      <c r="F25" s="47">
        <v>24</v>
      </c>
      <c r="G25" s="47">
        <f t="shared" si="0"/>
        <v>10944</v>
      </c>
    </row>
    <row r="26" spans="1:7" ht="15" customHeight="1">
      <c r="A26" s="36" t="str">
        <f>+VARIABLES!B28</f>
        <v>Ing. Responsable de Contratos</v>
      </c>
      <c r="B26" s="11" t="str">
        <f>+movilidad!B25</f>
        <v>mes</v>
      </c>
      <c r="C26" s="47">
        <f>+movilidad!C25</f>
        <v>1</v>
      </c>
      <c r="D26" s="90">
        <f>+movilidad!D25</f>
        <v>18</v>
      </c>
      <c r="E26" s="47">
        <f>ROUND(C26*D26*30-movilidad!F25*7,2)</f>
        <v>456</v>
      </c>
      <c r="F26" s="47">
        <v>24</v>
      </c>
      <c r="G26" s="47">
        <f t="shared" si="0"/>
        <v>10944</v>
      </c>
    </row>
    <row r="27" spans="1:7" ht="15" customHeight="1">
      <c r="A27" s="36" t="str">
        <f>+VARIABLES!B29</f>
        <v>Ing. Asistente de Producción</v>
      </c>
      <c r="B27" s="11" t="str">
        <f>+movilidad!B26</f>
        <v>mes</v>
      </c>
      <c r="C27" s="47">
        <f>+movilidad!C26</f>
        <v>1</v>
      </c>
      <c r="D27" s="90">
        <f>+movilidad!D26</f>
        <v>18</v>
      </c>
      <c r="E27" s="47">
        <f>ROUND(C27*D27*30-movilidad!F26*7,2)</f>
        <v>456</v>
      </c>
      <c r="F27" s="47">
        <v>24</v>
      </c>
      <c r="G27" s="47">
        <f t="shared" si="0"/>
        <v>10944</v>
      </c>
    </row>
    <row r="28" spans="1:7" ht="15" customHeight="1">
      <c r="A28" s="36" t="str">
        <f>+VARIABLES!B46</f>
        <v>Administrador de Obra</v>
      </c>
      <c r="B28" s="11" t="str">
        <f>+movilidad!B27</f>
        <v>mes</v>
      </c>
      <c r="C28" s="47">
        <f>+movilidad!C27</f>
        <v>1</v>
      </c>
      <c r="D28" s="90">
        <f>+movilidad!D27</f>
        <v>18</v>
      </c>
      <c r="E28" s="47">
        <f>ROUND(C28*D28*30-movilidad!F27*7,2)</f>
        <v>456</v>
      </c>
      <c r="F28" s="47">
        <v>24</v>
      </c>
      <c r="G28" s="47">
        <f t="shared" si="0"/>
        <v>10944</v>
      </c>
    </row>
    <row r="29" spans="1:7" ht="15" customHeight="1">
      <c r="A29" s="36" t="str">
        <f>+VARIABLES!B47</f>
        <v>Contador</v>
      </c>
      <c r="B29" s="11" t="str">
        <f>+movilidad!B28</f>
        <v>mes</v>
      </c>
      <c r="C29" s="47">
        <f>+movilidad!C28</f>
        <v>1</v>
      </c>
      <c r="D29" s="90">
        <f>+movilidad!D28</f>
        <v>18</v>
      </c>
      <c r="E29" s="47">
        <f>ROUND(C29*D29*30-movilidad!F28*7,2)</f>
        <v>456</v>
      </c>
      <c r="F29" s="47">
        <v>24</v>
      </c>
      <c r="G29" s="47">
        <f t="shared" si="0"/>
        <v>10944</v>
      </c>
    </row>
    <row r="30" spans="1:7" ht="15" customHeight="1">
      <c r="A30" s="36" t="str">
        <f>+VARIABLES!B48</f>
        <v>Asistente de Impacto Ambiental: Medio Fisico Biologico</v>
      </c>
      <c r="B30" s="11" t="str">
        <f>+movilidad!B29</f>
        <v>mes</v>
      </c>
      <c r="C30" s="47">
        <f>+movilidad!C29</f>
        <v>1</v>
      </c>
      <c r="D30" s="90">
        <f>+movilidad!D29</f>
        <v>18</v>
      </c>
      <c r="E30" s="47">
        <f>ROUND(C30*D30*30-movilidad!F29*7,2)</f>
        <v>456</v>
      </c>
      <c r="F30" s="47">
        <v>24</v>
      </c>
      <c r="G30" s="47">
        <f>ROUND(E30*F30,2)</f>
        <v>10944</v>
      </c>
    </row>
    <row r="31" spans="1:7" ht="15" customHeight="1">
      <c r="A31" s="36" t="str">
        <f>+VARIABLES!B49</f>
        <v>Asistente de Impacto Ambiental: Asuntos Sociales</v>
      </c>
      <c r="B31" s="11" t="str">
        <f>+movilidad!B30</f>
        <v>mes</v>
      </c>
      <c r="C31" s="47">
        <f>+movilidad!C30</f>
        <v>1</v>
      </c>
      <c r="D31" s="90">
        <f>+movilidad!D30</f>
        <v>18</v>
      </c>
      <c r="E31" s="47">
        <f>ROUND(C31*D31*30-movilidad!F30*7,2)</f>
        <v>456</v>
      </c>
      <c r="F31" s="47">
        <v>24</v>
      </c>
      <c r="G31" s="47">
        <f>ROUND(E31*F31,2)</f>
        <v>10944</v>
      </c>
    </row>
    <row r="32" spans="1:7" ht="15" customHeight="1">
      <c r="A32" s="36" t="str">
        <f>+VARIABLES!B64</f>
        <v>Ing. Responsable Plantas</v>
      </c>
      <c r="B32" s="11" t="str">
        <f>+movilidad!B31</f>
        <v>mes</v>
      </c>
      <c r="C32" s="47">
        <f>+movilidad!C31</f>
        <v>1</v>
      </c>
      <c r="D32" s="90">
        <f>+movilidad!D31</f>
        <v>6</v>
      </c>
      <c r="E32" s="47">
        <f>ROUND(C32*D32*30-movilidad!F31*7,2)</f>
        <v>152</v>
      </c>
      <c r="F32" s="47">
        <v>24</v>
      </c>
      <c r="G32" s="47">
        <f t="shared" si="0"/>
        <v>3648</v>
      </c>
    </row>
    <row r="33" spans="1:7" ht="15" customHeight="1">
      <c r="A33" s="36" t="str">
        <f>+VARIABLES!B65</f>
        <v>Ing. Responsable de Equipos</v>
      </c>
      <c r="B33" s="11" t="str">
        <f>+movilidad!B32</f>
        <v>mes</v>
      </c>
      <c r="C33" s="47">
        <f>+movilidad!C32</f>
        <v>1</v>
      </c>
      <c r="D33" s="90">
        <f>+movilidad!D32</f>
        <v>18</v>
      </c>
      <c r="E33" s="47">
        <f>ROUND(C33*D33*30-movilidad!F32*7,2)</f>
        <v>456</v>
      </c>
      <c r="F33" s="47">
        <v>24</v>
      </c>
      <c r="G33" s="47">
        <f t="shared" si="0"/>
        <v>10944</v>
      </c>
    </row>
    <row r="34" spans="1:7" ht="15" customHeight="1">
      <c r="A34" s="36" t="str">
        <f>+VARIABLES!B66</f>
        <v>Ing. Asistente de Equipos</v>
      </c>
      <c r="B34" s="11" t="str">
        <f>+movilidad!B33</f>
        <v>mes</v>
      </c>
      <c r="C34" s="47">
        <f>+movilidad!C33</f>
        <v>1</v>
      </c>
      <c r="D34" s="90">
        <f>+movilidad!D33</f>
        <v>18</v>
      </c>
      <c r="E34" s="47">
        <f>ROUND(C34*D34*30-movilidad!F33*7,2)</f>
        <v>456</v>
      </c>
      <c r="F34" s="47">
        <v>24</v>
      </c>
      <c r="G34" s="47">
        <f t="shared" si="0"/>
        <v>10944</v>
      </c>
    </row>
    <row r="35" spans="1:7" s="89" customFormat="1" ht="9.75" customHeight="1">
      <c r="A35" s="88"/>
      <c r="B35" s="88"/>
      <c r="C35" s="88"/>
      <c r="D35" s="88"/>
      <c r="E35" s="88"/>
      <c r="F35" s="88"/>
      <c r="G35" s="88"/>
    </row>
    <row r="36" spans="1:7" s="39" customFormat="1" ht="15" customHeight="1">
      <c r="A36" s="93"/>
      <c r="B36" s="62"/>
      <c r="C36" s="62"/>
      <c r="E36" s="94"/>
      <c r="F36" s="95" t="s">
        <v>116</v>
      </c>
      <c r="G36" s="96">
        <f>SUM(G17:G34)</f>
        <v>189696</v>
      </c>
    </row>
    <row r="37" ht="4.5" customHeight="1"/>
    <row r="38" spans="1:5" ht="16.5">
      <c r="A38" s="37" t="s">
        <v>115</v>
      </c>
      <c r="B38" s="38"/>
      <c r="C38" s="38"/>
      <c r="D38" s="38"/>
      <c r="E38" s="38"/>
    </row>
    <row r="39" ht="4.5" customHeight="1"/>
    <row r="40" spans="1:7" s="86" customFormat="1" ht="15" customHeight="1">
      <c r="A40" s="86" t="s">
        <v>175</v>
      </c>
      <c r="B40" s="87" t="s">
        <v>9</v>
      </c>
      <c r="C40" s="86" t="s">
        <v>5</v>
      </c>
      <c r="D40" s="86" t="s">
        <v>39</v>
      </c>
      <c r="E40" s="86" t="s">
        <v>176</v>
      </c>
      <c r="F40" s="86" t="s">
        <v>363</v>
      </c>
      <c r="G40" s="86" t="s">
        <v>40</v>
      </c>
    </row>
    <row r="41" spans="1:7" s="89" customFormat="1" ht="6" customHeight="1">
      <c r="A41" s="88"/>
      <c r="B41" s="88"/>
      <c r="C41" s="88"/>
      <c r="D41" s="88"/>
      <c r="E41" s="88"/>
      <c r="F41" s="88"/>
      <c r="G41" s="88"/>
    </row>
    <row r="42" spans="1:7" ht="15" customHeight="1">
      <c r="A42" s="47" t="str">
        <f>+VARIABLES!B30</f>
        <v>Responsable de Seguridad en Obra</v>
      </c>
      <c r="B42" s="11" t="str">
        <f>+VARIABLES!C30</f>
        <v>mes</v>
      </c>
      <c r="C42" s="47">
        <f>+VARIABLES!D30</f>
        <v>1</v>
      </c>
      <c r="D42" s="47">
        <f>+VARIABLES!E47</f>
        <v>18</v>
      </c>
      <c r="E42" s="47">
        <f>ROUND(C42*D42*30-movilidad!F41*C42*7,2)</f>
        <v>456</v>
      </c>
      <c r="F42" s="47">
        <v>15</v>
      </c>
      <c r="G42" s="47">
        <f aca="true" t="shared" si="1" ref="G42:G63">ROUND(E42*F42,2)</f>
        <v>6840</v>
      </c>
    </row>
    <row r="43" spans="1:7" ht="15" customHeight="1">
      <c r="A43" s="47" t="str">
        <f>+VARIABLES!B31</f>
        <v>Maestro Capataz General</v>
      </c>
      <c r="B43" s="11" t="str">
        <f>+VARIABLES!C53</f>
        <v>mes</v>
      </c>
      <c r="C43" s="47">
        <f>+VARIABLES!D31</f>
        <v>1</v>
      </c>
      <c r="D43" s="47">
        <f>+VARIABLES!E50</f>
        <v>18</v>
      </c>
      <c r="E43" s="47">
        <f>ROUND(C43*D43*30-movilidad!F42*C43*7,2)</f>
        <v>456</v>
      </c>
      <c r="F43" s="47">
        <v>15</v>
      </c>
      <c r="G43" s="47">
        <f t="shared" si="1"/>
        <v>6840</v>
      </c>
    </row>
    <row r="44" spans="1:7" ht="15" customHeight="1">
      <c r="A44" s="47" t="str">
        <f>+VARIABLES!B32</f>
        <v>Dibujante en Autocad</v>
      </c>
      <c r="B44" s="11" t="str">
        <f>+VARIABLES!C36</f>
        <v>mes</v>
      </c>
      <c r="C44" s="47">
        <f>+VARIABLES!D32</f>
        <v>3</v>
      </c>
      <c r="D44" s="47">
        <f>+VARIABLES!E51</f>
        <v>18</v>
      </c>
      <c r="E44" s="47">
        <f>ROUND(C44*D44*30-movilidad!F43*C44*7,2)</f>
        <v>1368</v>
      </c>
      <c r="F44" s="47">
        <v>15</v>
      </c>
      <c r="G44" s="47">
        <f t="shared" si="1"/>
        <v>20520</v>
      </c>
    </row>
    <row r="45" spans="1:7" ht="15" customHeight="1">
      <c r="A45" s="47" t="str">
        <f>+VARIABLES!B33</f>
        <v>Jefe de Topografia</v>
      </c>
      <c r="B45" s="11" t="str">
        <f>+VARIABLES!C37</f>
        <v>mes</v>
      </c>
      <c r="C45" s="47">
        <f>+VARIABLES!D33</f>
        <v>1</v>
      </c>
      <c r="D45" s="47">
        <f>+VARIABLES!E52</f>
        <v>18</v>
      </c>
      <c r="E45" s="47">
        <f>ROUND(C45*D45*30-movilidad!F44*C45*7,2)</f>
        <v>456</v>
      </c>
      <c r="F45" s="47">
        <v>15</v>
      </c>
      <c r="G45" s="47">
        <f t="shared" si="1"/>
        <v>6840</v>
      </c>
    </row>
    <row r="46" spans="1:7" ht="15" customHeight="1">
      <c r="A46" s="47" t="str">
        <f>+VARIABLES!B34</f>
        <v>Topografo</v>
      </c>
      <c r="B46" s="11" t="str">
        <f>+VARIABLES!C56</f>
        <v>mes</v>
      </c>
      <c r="C46" s="47">
        <f>+VARIABLES!D34</f>
        <v>3</v>
      </c>
      <c r="D46" s="47">
        <f>+VARIABLES!E53</f>
        <v>18</v>
      </c>
      <c r="E46" s="47">
        <f>ROUND(C46*D46*30-movilidad!F45*C46*7,2)</f>
        <v>1368</v>
      </c>
      <c r="F46" s="47">
        <v>15</v>
      </c>
      <c r="G46" s="47">
        <f t="shared" si="1"/>
        <v>20520</v>
      </c>
    </row>
    <row r="47" spans="1:7" ht="15" customHeight="1">
      <c r="A47" s="47" t="str">
        <f>+VARIABLES!B35</f>
        <v>Nivelador</v>
      </c>
      <c r="B47" s="11" t="str">
        <f>+VARIABLES!C31</f>
        <v>mes</v>
      </c>
      <c r="C47" s="47">
        <f>+VARIABLES!D35</f>
        <v>3</v>
      </c>
      <c r="D47" s="47">
        <f>+VARIABLES!E54</f>
        <v>18</v>
      </c>
      <c r="E47" s="47">
        <f>ROUND(C47*D47*30-movilidad!F46*C47*7,2)</f>
        <v>1368</v>
      </c>
      <c r="F47" s="47">
        <v>15</v>
      </c>
      <c r="G47" s="47">
        <f t="shared" si="1"/>
        <v>20520</v>
      </c>
    </row>
    <row r="48" spans="1:7" ht="15" customHeight="1">
      <c r="A48" s="47" t="str">
        <f>+VARIABLES!B36</f>
        <v>Jefe de Laboratorio</v>
      </c>
      <c r="B48" s="11" t="str">
        <f>+VARIABLES!C30</f>
        <v>mes</v>
      </c>
      <c r="C48" s="47">
        <f>+VARIABLES!D36</f>
        <v>1</v>
      </c>
      <c r="D48" s="47">
        <f>+VARIABLES!E55</f>
        <v>18</v>
      </c>
      <c r="E48" s="47">
        <f>ROUND(C48*D48*30-movilidad!F47*C48*7,2)</f>
        <v>456</v>
      </c>
      <c r="F48" s="47">
        <v>15</v>
      </c>
      <c r="G48" s="47">
        <f t="shared" si="1"/>
        <v>6840</v>
      </c>
    </row>
    <row r="49" spans="1:7" ht="15" customHeight="1">
      <c r="A49" s="47" t="str">
        <f>+VARIABLES!B37</f>
        <v>Auxiliar de Laboratorio</v>
      </c>
      <c r="B49" s="11" t="str">
        <f>+VARIABLES!C33</f>
        <v>mes</v>
      </c>
      <c r="C49" s="47">
        <f>+VARIABLES!D37</f>
        <v>2</v>
      </c>
      <c r="D49" s="47">
        <f>+VARIABLES!E56</f>
        <v>18</v>
      </c>
      <c r="E49" s="47">
        <f>ROUND(C49*D49*30-movilidad!F48*C49*7,2)</f>
        <v>912</v>
      </c>
      <c r="F49" s="47">
        <v>15</v>
      </c>
      <c r="G49" s="47">
        <f t="shared" si="1"/>
        <v>13680</v>
      </c>
    </row>
    <row r="50" spans="1:7" ht="15" customHeight="1">
      <c r="A50" s="47" t="str">
        <f>+VARIABLES!B38</f>
        <v>Auxiliares de Costos - Tareadores</v>
      </c>
      <c r="B50" s="11" t="str">
        <f>+VARIABLES!C34</f>
        <v>mes</v>
      </c>
      <c r="C50" s="47">
        <f>+VARIABLES!D38</f>
        <v>2</v>
      </c>
      <c r="D50" s="47">
        <f>+VARIABLES!E57</f>
        <v>18</v>
      </c>
      <c r="E50" s="47">
        <f>ROUND(C50*D50*30-movilidad!F49*C50*7,2)</f>
        <v>912</v>
      </c>
      <c r="F50" s="47">
        <v>15</v>
      </c>
      <c r="G50" s="47">
        <f t="shared" si="1"/>
        <v>13680</v>
      </c>
    </row>
    <row r="51" spans="1:7" ht="15" customHeight="1">
      <c r="A51" s="47" t="str">
        <f>+VARIABLES!B50</f>
        <v>Encargado de Personal</v>
      </c>
      <c r="B51" s="11" t="str">
        <f>+VARIABLES!C50</f>
        <v>mes</v>
      </c>
      <c r="C51" s="47">
        <f>+VARIABLES!D50</f>
        <v>1</v>
      </c>
      <c r="D51" s="47">
        <f>+VARIABLES!E50</f>
        <v>18</v>
      </c>
      <c r="E51" s="47">
        <f>ROUND(C51*D51*30-movilidad!F50*C51*7,2)</f>
        <v>456</v>
      </c>
      <c r="F51" s="47">
        <v>15</v>
      </c>
      <c r="G51" s="47">
        <f t="shared" si="1"/>
        <v>6840</v>
      </c>
    </row>
    <row r="52" spans="1:7" ht="15" customHeight="1">
      <c r="A52" s="47" t="str">
        <f>+VARIABLES!B51</f>
        <v>Encargado de Almacén</v>
      </c>
      <c r="B52" s="11" t="str">
        <f>+VARIABLES!C51</f>
        <v>mes</v>
      </c>
      <c r="C52" s="47">
        <f>+VARIABLES!D51</f>
        <v>1</v>
      </c>
      <c r="D52" s="47">
        <f>+VARIABLES!E51</f>
        <v>18</v>
      </c>
      <c r="E52" s="47">
        <f>ROUND(C52*D52*30-movilidad!F51*C52*7,2)</f>
        <v>456</v>
      </c>
      <c r="F52" s="47">
        <v>15</v>
      </c>
      <c r="G52" s="47">
        <f t="shared" si="1"/>
        <v>6840</v>
      </c>
    </row>
    <row r="53" spans="1:7" ht="15" customHeight="1">
      <c r="A53" s="47" t="str">
        <f>+VARIABLES!B52</f>
        <v>Encargado de Campamento</v>
      </c>
      <c r="B53" s="11" t="str">
        <f>+VARIABLES!C52</f>
        <v>mes</v>
      </c>
      <c r="C53" s="47">
        <f>+VARIABLES!D52</f>
        <v>1</v>
      </c>
      <c r="D53" s="47">
        <f>+VARIABLES!E52</f>
        <v>18</v>
      </c>
      <c r="E53" s="47">
        <f>ROUND(C53*D53*30-movilidad!F52*C53*7,2)</f>
        <v>456</v>
      </c>
      <c r="F53" s="47">
        <v>15</v>
      </c>
      <c r="G53" s="47">
        <f t="shared" si="1"/>
        <v>6840</v>
      </c>
    </row>
    <row r="54" spans="1:7" ht="15" customHeight="1">
      <c r="A54" s="47" t="str">
        <f>+VARIABLES!B53</f>
        <v>Especialista en Sistemas</v>
      </c>
      <c r="B54" s="11" t="str">
        <f>+VARIABLES!C53</f>
        <v>mes</v>
      </c>
      <c r="C54" s="47">
        <f>+VARIABLES!D53</f>
        <v>1</v>
      </c>
      <c r="D54" s="47">
        <f>+VARIABLES!E53</f>
        <v>18</v>
      </c>
      <c r="E54" s="47">
        <f>ROUND(C54*D54*30-movilidad!F53*C54*7,2)</f>
        <v>456</v>
      </c>
      <c r="F54" s="47">
        <v>15</v>
      </c>
      <c r="G54" s="47">
        <f t="shared" si="1"/>
        <v>6840</v>
      </c>
    </row>
    <row r="55" spans="1:7" ht="15" customHeight="1">
      <c r="A55" s="47" t="str">
        <f>+VARIABLES!B67</f>
        <v>Mecánico Equipo Pesado</v>
      </c>
      <c r="B55" s="11" t="str">
        <f>+VARIABLES!C67</f>
        <v>mes</v>
      </c>
      <c r="C55" s="47">
        <f>+VARIABLES!D67</f>
        <v>1</v>
      </c>
      <c r="D55" s="47">
        <f>+VARIABLES!E67</f>
        <v>18</v>
      </c>
      <c r="E55" s="47">
        <f>ROUND(C55*D55*30-movilidad!F54*C55*7,2)</f>
        <v>456</v>
      </c>
      <c r="F55" s="47">
        <v>15</v>
      </c>
      <c r="G55" s="47">
        <f t="shared" si="1"/>
        <v>6840</v>
      </c>
    </row>
    <row r="56" spans="1:7" ht="15" customHeight="1">
      <c r="A56" s="47" t="str">
        <f>+VARIABLES!B68</f>
        <v>Mecánico Equipo Liviano</v>
      </c>
      <c r="B56" s="11" t="str">
        <f>+VARIABLES!C68</f>
        <v>mes</v>
      </c>
      <c r="C56" s="47">
        <f>+VARIABLES!D68</f>
        <v>1</v>
      </c>
      <c r="D56" s="47">
        <f>+VARIABLES!E68</f>
        <v>18</v>
      </c>
      <c r="E56" s="47">
        <f>ROUND(C56*D56*30-movilidad!F55*C56*7,2)</f>
        <v>456</v>
      </c>
      <c r="F56" s="47">
        <v>15</v>
      </c>
      <c r="G56" s="47">
        <f t="shared" si="1"/>
        <v>6840</v>
      </c>
    </row>
    <row r="57" spans="1:7" ht="15" customHeight="1">
      <c r="A57" s="47" t="str">
        <f>+VARIABLES!B69</f>
        <v>Electricista</v>
      </c>
      <c r="B57" s="11" t="str">
        <f>+VARIABLES!C69</f>
        <v>mes</v>
      </c>
      <c r="C57" s="47">
        <f>+VARIABLES!D69</f>
        <v>1</v>
      </c>
      <c r="D57" s="47">
        <f>+VARIABLES!E69</f>
        <v>18</v>
      </c>
      <c r="E57" s="47">
        <f>ROUND(C57*D57*30-movilidad!F56*C57*7,2)</f>
        <v>456</v>
      </c>
      <c r="F57" s="47">
        <v>15</v>
      </c>
      <c r="G57" s="47">
        <f t="shared" si="1"/>
        <v>6840</v>
      </c>
    </row>
    <row r="58" spans="1:7" ht="15" customHeight="1">
      <c r="A58" s="47" t="str">
        <f>+VARIABLES!B70</f>
        <v>Soldador</v>
      </c>
      <c r="B58" s="11" t="str">
        <f>+VARIABLES!C70</f>
        <v>mes</v>
      </c>
      <c r="C58" s="47">
        <f>+VARIABLES!D70</f>
        <v>1</v>
      </c>
      <c r="D58" s="47">
        <f>+VARIABLES!E70</f>
        <v>18</v>
      </c>
      <c r="E58" s="47">
        <f>ROUND(C58*D58*30-movilidad!F57*C58*7,2)</f>
        <v>456</v>
      </c>
      <c r="F58" s="47">
        <v>15</v>
      </c>
      <c r="G58" s="47">
        <f t="shared" si="1"/>
        <v>6840</v>
      </c>
    </row>
    <row r="59" spans="1:7" ht="15" customHeight="1">
      <c r="A59" s="47" t="str">
        <f>+VARIABLES!B71</f>
        <v>Tornero</v>
      </c>
      <c r="B59" s="11" t="str">
        <f>+VARIABLES!C71</f>
        <v>mes</v>
      </c>
      <c r="C59" s="47">
        <f>+VARIABLES!D71</f>
        <v>1</v>
      </c>
      <c r="D59" s="47">
        <f>+VARIABLES!E71</f>
        <v>18</v>
      </c>
      <c r="E59" s="47">
        <f>ROUND(C59*D59*30-movilidad!F58*C59*7,2)</f>
        <v>456</v>
      </c>
      <c r="F59" s="47">
        <v>15</v>
      </c>
      <c r="G59" s="47">
        <f t="shared" si="1"/>
        <v>6840</v>
      </c>
    </row>
    <row r="60" spans="1:7" ht="15" customHeight="1">
      <c r="A60" s="47" t="str">
        <f>+VARIABLES!B72</f>
        <v>Lubricador</v>
      </c>
      <c r="B60" s="11" t="str">
        <f>+VARIABLES!C72</f>
        <v>mes</v>
      </c>
      <c r="C60" s="47">
        <f>+VARIABLES!D72</f>
        <v>1</v>
      </c>
      <c r="D60" s="47">
        <f>+VARIABLES!E72</f>
        <v>18</v>
      </c>
      <c r="E60" s="47">
        <f>ROUND(C60*D60*30-movilidad!F59*C60*7,2)</f>
        <v>456</v>
      </c>
      <c r="F60" s="47">
        <v>15</v>
      </c>
      <c r="G60" s="47">
        <f t="shared" si="1"/>
        <v>6840</v>
      </c>
    </row>
    <row r="61" spans="1:7" ht="15" customHeight="1">
      <c r="A61" s="47" t="str">
        <f>+VARIABLES!B73</f>
        <v>Llantero</v>
      </c>
      <c r="B61" s="11" t="str">
        <f>+VARIABLES!C73</f>
        <v>mes</v>
      </c>
      <c r="C61" s="47">
        <f>+VARIABLES!D73</f>
        <v>1</v>
      </c>
      <c r="D61" s="47">
        <f>+VARIABLES!E73</f>
        <v>18</v>
      </c>
      <c r="E61" s="47">
        <f>ROUND(C61*D61*30-movilidad!F60*C61*7,2)</f>
        <v>456</v>
      </c>
      <c r="F61" s="47">
        <v>15</v>
      </c>
      <c r="G61" s="47">
        <f t="shared" si="1"/>
        <v>6840</v>
      </c>
    </row>
    <row r="62" spans="1:7" ht="15" customHeight="1">
      <c r="A62" s="47" t="s">
        <v>362</v>
      </c>
      <c r="B62" s="11" t="str">
        <f>+VARIABLES!C72</f>
        <v>mes</v>
      </c>
      <c r="C62" s="47">
        <f>+VARIABLES!D115</f>
        <v>15</v>
      </c>
      <c r="D62" s="97">
        <f>+VARIABLES!E72</f>
        <v>18</v>
      </c>
      <c r="E62" s="47">
        <f>ROUND(C62*D62*30-movilidad!F61*C62*7,2)</f>
        <v>6840</v>
      </c>
      <c r="F62" s="47">
        <v>15</v>
      </c>
      <c r="G62" s="47">
        <f t="shared" si="1"/>
        <v>102600</v>
      </c>
    </row>
    <row r="63" spans="1:7" ht="15" customHeight="1">
      <c r="A63" s="47" t="s">
        <v>361</v>
      </c>
      <c r="B63" s="11" t="s">
        <v>18</v>
      </c>
      <c r="C63" s="47">
        <f>+movilidad!C62</f>
        <v>75</v>
      </c>
      <c r="D63" s="97">
        <f>+VARIABLES!E73</f>
        <v>18</v>
      </c>
      <c r="E63" s="47">
        <f>ROUND(C63*D63*30-movilidad!F62*C63*7,2)</f>
        <v>34200</v>
      </c>
      <c r="F63" s="47">
        <v>15</v>
      </c>
      <c r="G63" s="47">
        <f t="shared" si="1"/>
        <v>513000</v>
      </c>
    </row>
    <row r="64" spans="1:7" s="89" customFormat="1" ht="9.75" customHeight="1">
      <c r="A64" s="88"/>
      <c r="B64" s="88"/>
      <c r="C64" s="88"/>
      <c r="D64" s="88"/>
      <c r="E64" s="88"/>
      <c r="F64" s="88"/>
      <c r="G64" s="88"/>
    </row>
    <row r="65" spans="1:7" s="39" customFormat="1" ht="15" customHeight="1">
      <c r="A65" s="93"/>
      <c r="B65" s="62"/>
      <c r="C65" s="62"/>
      <c r="E65" s="94"/>
      <c r="F65" s="95" t="s">
        <v>116</v>
      </c>
      <c r="G65" s="96">
        <f>SUM(G41:G64)</f>
        <v>807120</v>
      </c>
    </row>
    <row r="66" ht="4.5" customHeight="1"/>
    <row r="67" spans="1:5" ht="16.5">
      <c r="A67" s="37" t="s">
        <v>117</v>
      </c>
      <c r="B67" s="38"/>
      <c r="C67" s="38"/>
      <c r="D67" s="38"/>
      <c r="E67" s="38"/>
    </row>
    <row r="68" ht="4.5" customHeight="1"/>
    <row r="69" spans="1:7" s="86" customFormat="1" ht="15" customHeight="1">
      <c r="A69" s="86" t="s">
        <v>175</v>
      </c>
      <c r="B69" s="87" t="s">
        <v>9</v>
      </c>
      <c r="C69" s="86" t="s">
        <v>5</v>
      </c>
      <c r="D69" s="86" t="s">
        <v>39</v>
      </c>
      <c r="E69" s="86" t="s">
        <v>176</v>
      </c>
      <c r="F69" s="86" t="s">
        <v>363</v>
      </c>
      <c r="G69" s="86" t="s">
        <v>40</v>
      </c>
    </row>
    <row r="70" spans="1:7" s="89" customFormat="1" ht="5.25" customHeight="1">
      <c r="A70" s="88"/>
      <c r="B70" s="88"/>
      <c r="C70" s="88"/>
      <c r="D70" s="88"/>
      <c r="E70" s="88"/>
      <c r="F70" s="88"/>
      <c r="G70" s="88"/>
    </row>
    <row r="71" spans="1:7" ht="15" customHeight="1">
      <c r="A71" s="47" t="str">
        <f>+movilidad!A70</f>
        <v>Ayudante de Topografía (zona)</v>
      </c>
      <c r="B71" s="11" t="str">
        <f>+movilidad!B70</f>
        <v>mes</v>
      </c>
      <c r="C71" s="47">
        <f>+movilidad!C70</f>
        <v>12</v>
      </c>
      <c r="D71" s="90">
        <f>+movilidad!D70</f>
        <v>17</v>
      </c>
      <c r="E71" s="47">
        <f>ROUND(C71*D71*30-movilidad!F70*C71*7,2)</f>
        <v>6120</v>
      </c>
      <c r="F71" s="47">
        <v>12</v>
      </c>
      <c r="G71" s="47">
        <f aca="true" t="shared" si="2" ref="G71:G82">ROUND(E71*F71,2)</f>
        <v>73440</v>
      </c>
    </row>
    <row r="72" spans="1:7" ht="15" customHeight="1">
      <c r="A72" s="47" t="str">
        <f>+movilidad!A71</f>
        <v>Ayudante de Nivelación (zona)</v>
      </c>
      <c r="B72" s="11" t="str">
        <f>+movilidad!B71</f>
        <v>mes</v>
      </c>
      <c r="C72" s="47">
        <f>+movilidad!C71</f>
        <v>9</v>
      </c>
      <c r="D72" s="90">
        <f>+movilidad!D71</f>
        <v>17</v>
      </c>
      <c r="E72" s="47">
        <f>ROUND(C72*D72*30-movilidad!F71*C72*7,2)</f>
        <v>4590</v>
      </c>
      <c r="F72" s="47">
        <v>12</v>
      </c>
      <c r="G72" s="47">
        <f t="shared" si="2"/>
        <v>55080</v>
      </c>
    </row>
    <row r="73" spans="1:7" ht="15" customHeight="1">
      <c r="A73" s="47" t="str">
        <f>+movilidad!A72</f>
        <v>Ayudante de Laboratorio (zona)</v>
      </c>
      <c r="B73" s="11" t="str">
        <f>+movilidad!B72</f>
        <v>mes</v>
      </c>
      <c r="C73" s="47">
        <f>+movilidad!C72</f>
        <v>3</v>
      </c>
      <c r="D73" s="90">
        <f>+movilidad!D72</f>
        <v>17</v>
      </c>
      <c r="E73" s="47">
        <f>ROUND(C73*D73*30-movilidad!F72*C73*7,2)</f>
        <v>1530</v>
      </c>
      <c r="F73" s="47">
        <v>12</v>
      </c>
      <c r="G73" s="47">
        <f t="shared" si="2"/>
        <v>18360</v>
      </c>
    </row>
    <row r="74" spans="1:7" ht="15" customHeight="1">
      <c r="A74" s="47" t="str">
        <f>+movilidad!A73</f>
        <v>Señaleros (zona)</v>
      </c>
      <c r="B74" s="11" t="str">
        <f>+movilidad!B73</f>
        <v>mes</v>
      </c>
      <c r="C74" s="47">
        <f>+movilidad!C73</f>
        <v>12</v>
      </c>
      <c r="D74" s="90">
        <f>+movilidad!D73</f>
        <v>18</v>
      </c>
      <c r="E74" s="47">
        <f>ROUND(C74*D74*30-movilidad!F73*C74*7,2)</f>
        <v>6480</v>
      </c>
      <c r="F74" s="47">
        <v>12</v>
      </c>
      <c r="G74" s="47">
        <f t="shared" si="2"/>
        <v>77760</v>
      </c>
    </row>
    <row r="75" spans="1:7" ht="15" customHeight="1">
      <c r="A75" s="47" t="str">
        <f>+movilidad!A74</f>
        <v>Auxiliar Administrativo (zona)</v>
      </c>
      <c r="B75" s="11" t="str">
        <f>+movilidad!B74</f>
        <v>mes</v>
      </c>
      <c r="C75" s="47">
        <f>+movilidad!C74</f>
        <v>1</v>
      </c>
      <c r="D75" s="90">
        <f>+movilidad!D74</f>
        <v>18</v>
      </c>
      <c r="E75" s="47">
        <f>ROUND(C75*D75*30-movilidad!F74*C75*7,2)</f>
        <v>540</v>
      </c>
      <c r="F75" s="47">
        <v>12</v>
      </c>
      <c r="G75" s="47">
        <f t="shared" si="2"/>
        <v>6480</v>
      </c>
    </row>
    <row r="76" spans="1:7" ht="15" customHeight="1">
      <c r="A76" s="47" t="str">
        <f>+movilidad!A75</f>
        <v>Ayudante de Almacén (zona)</v>
      </c>
      <c r="B76" s="11" t="str">
        <f>+movilidad!B75</f>
        <v>mes</v>
      </c>
      <c r="C76" s="47">
        <f>+movilidad!C75</f>
        <v>1</v>
      </c>
      <c r="D76" s="90">
        <f>+movilidad!D75</f>
        <v>18</v>
      </c>
      <c r="E76" s="47">
        <f>ROUND(C76*D76*30-movilidad!F75*C76*7,2)</f>
        <v>540</v>
      </c>
      <c r="F76" s="47">
        <v>12</v>
      </c>
      <c r="G76" s="47">
        <f t="shared" si="2"/>
        <v>6480</v>
      </c>
    </row>
    <row r="77" spans="1:7" ht="15" customHeight="1">
      <c r="A77" s="47" t="str">
        <f>+movilidad!A76</f>
        <v>Técnico en Enfermería (zona)</v>
      </c>
      <c r="B77" s="11" t="str">
        <f>+movilidad!B76</f>
        <v>mes</v>
      </c>
      <c r="C77" s="47">
        <f>+movilidad!C76</f>
        <v>1</v>
      </c>
      <c r="D77" s="90">
        <f>+movilidad!D76</f>
        <v>18</v>
      </c>
      <c r="E77" s="47">
        <f>ROUND(C77*D77*30-movilidad!F76*C77*7,2)</f>
        <v>540</v>
      </c>
      <c r="F77" s="47">
        <v>12</v>
      </c>
      <c r="G77" s="47">
        <f t="shared" si="2"/>
        <v>6480</v>
      </c>
    </row>
    <row r="78" spans="1:7" ht="15" customHeight="1">
      <c r="A78" s="47" t="str">
        <f>+movilidad!A77</f>
        <v>Secretaria (zona)</v>
      </c>
      <c r="B78" s="11" t="str">
        <f>+movilidad!B77</f>
        <v>mes</v>
      </c>
      <c r="C78" s="47">
        <f>+movilidad!C77</f>
        <v>1</v>
      </c>
      <c r="D78" s="90">
        <f>+movilidad!D77</f>
        <v>18</v>
      </c>
      <c r="E78" s="47">
        <f>ROUND(C78*D78*30-movilidad!F77*C78*7,2)</f>
        <v>540</v>
      </c>
      <c r="F78" s="47">
        <v>12</v>
      </c>
      <c r="G78" s="47">
        <f t="shared" si="2"/>
        <v>6480</v>
      </c>
    </row>
    <row r="79" spans="1:7" ht="15" customHeight="1">
      <c r="A79" s="47" t="str">
        <f>+movilidad!A78</f>
        <v>Conserje (zona)</v>
      </c>
      <c r="B79" s="11" t="str">
        <f>+movilidad!B78</f>
        <v>mes</v>
      </c>
      <c r="C79" s="47">
        <f>+movilidad!C78</f>
        <v>1</v>
      </c>
      <c r="D79" s="90">
        <f>+movilidad!D78</f>
        <v>18</v>
      </c>
      <c r="E79" s="47">
        <f>ROUND(C79*D79*30-movilidad!F78*C79*7,2)</f>
        <v>540</v>
      </c>
      <c r="F79" s="47">
        <v>12</v>
      </c>
      <c r="G79" s="47">
        <f t="shared" si="2"/>
        <v>6480</v>
      </c>
    </row>
    <row r="80" spans="1:7" ht="15" customHeight="1">
      <c r="A80" s="47" t="str">
        <f>+movilidad!A79</f>
        <v>Mantenimiento y Limpieza (zona)</v>
      </c>
      <c r="B80" s="11" t="str">
        <f>+movilidad!B79</f>
        <v>mes</v>
      </c>
      <c r="C80" s="47">
        <f>+movilidad!C79</f>
        <v>1</v>
      </c>
      <c r="D80" s="90">
        <f>+movilidad!D79</f>
        <v>18</v>
      </c>
      <c r="E80" s="47">
        <f>ROUND(C80*D80*30-movilidad!F79*C80*7,2)</f>
        <v>540</v>
      </c>
      <c r="F80" s="47">
        <v>12</v>
      </c>
      <c r="G80" s="47">
        <f t="shared" si="2"/>
        <v>6480</v>
      </c>
    </row>
    <row r="81" spans="1:7" ht="15" customHeight="1">
      <c r="A81" s="47" t="str">
        <f>+movilidad!A80</f>
        <v>Guardianes 7x 3 Turnos (zona)</v>
      </c>
      <c r="B81" s="11" t="str">
        <f>+movilidad!B80</f>
        <v>mes</v>
      </c>
      <c r="C81" s="47">
        <f>+movilidad!C80</f>
        <v>21</v>
      </c>
      <c r="D81" s="90">
        <f>+movilidad!D80</f>
        <v>18</v>
      </c>
      <c r="E81" s="47">
        <f>ROUND(C81*D81*30-movilidad!F80*C81*7,2)</f>
        <v>11340</v>
      </c>
      <c r="F81" s="47">
        <v>12</v>
      </c>
      <c r="G81" s="47">
        <f t="shared" si="2"/>
        <v>136080</v>
      </c>
    </row>
    <row r="82" spans="1:7" ht="15" customHeight="1">
      <c r="A82" s="47" t="str">
        <f>+movilidad!A81</f>
        <v>Ayudantes (zona)</v>
      </c>
      <c r="B82" s="11" t="str">
        <f>+movilidad!B81</f>
        <v>mes</v>
      </c>
      <c r="C82" s="47">
        <f>+movilidad!C81</f>
        <v>7</v>
      </c>
      <c r="D82" s="90">
        <f>+movilidad!D81</f>
        <v>18</v>
      </c>
      <c r="E82" s="47">
        <f>ROUND(C82*D82*30-movilidad!F81*C82*7,2)</f>
        <v>3780</v>
      </c>
      <c r="F82" s="47">
        <v>12</v>
      </c>
      <c r="G82" s="47">
        <f t="shared" si="2"/>
        <v>45360</v>
      </c>
    </row>
    <row r="83" spans="1:7" s="89" customFormat="1" ht="4.5" customHeight="1">
      <c r="A83" s="88"/>
      <c r="B83" s="11"/>
      <c r="C83" s="88"/>
      <c r="D83" s="88"/>
      <c r="E83" s="88"/>
      <c r="F83" s="88"/>
      <c r="G83" s="88"/>
    </row>
    <row r="84" spans="1:7" s="39" customFormat="1" ht="15" customHeight="1">
      <c r="A84" s="93"/>
      <c r="B84" s="62"/>
      <c r="C84" s="62"/>
      <c r="E84" s="94"/>
      <c r="F84" s="95" t="s">
        <v>116</v>
      </c>
      <c r="G84" s="96">
        <f>SUM(G71:G83)</f>
        <v>444960</v>
      </c>
    </row>
    <row r="85" ht="16.5">
      <c r="A85" s="10" t="s">
        <v>364</v>
      </c>
    </row>
    <row r="99" ht="16.5">
      <c r="A99" s="38"/>
    </row>
  </sheetData>
  <mergeCells count="1">
    <mergeCell ref="A11:G11"/>
  </mergeCells>
  <printOptions horizontalCentered="1"/>
  <pageMargins left="0.7874015748031497" right="0.5905511811023623" top="0.5905511811023623" bottom="0.984251968503937" header="0" footer="0.2755905511811024"/>
  <pageSetup horizontalDpi="600" verticalDpi="600" orientation="portrait" paperSize="9" scale="75" r:id="rId1"/>
  <headerFooter alignWithMargins="0">
    <oddFooter>&amp;C&amp;8
</oddFooter>
  </headerFooter>
  <rowBreaks count="1" manualBreakCount="1">
    <brk id="66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61"/>
  <sheetViews>
    <sheetView view="pageBreakPreview" zoomScaleSheetLayoutView="100" workbookViewId="0" topLeftCell="A1">
      <selection activeCell="A11" sqref="A11"/>
    </sheetView>
  </sheetViews>
  <sheetFormatPr defaultColWidth="11.421875" defaultRowHeight="12.75"/>
  <cols>
    <col min="1" max="1" width="17.7109375" style="10" customWidth="1"/>
    <col min="2" max="2" width="16.7109375" style="10" customWidth="1"/>
    <col min="3" max="3" width="6.7109375" style="10" customWidth="1"/>
    <col min="4" max="4" width="10.7109375" style="10" customWidth="1"/>
    <col min="5" max="7" width="12.7109375" style="10" customWidth="1"/>
    <col min="8" max="8" width="12.7109375" style="41" customWidth="1"/>
    <col min="9" max="9" width="14.7109375" style="10" customWidth="1"/>
    <col min="10" max="16384" width="11.421875" style="10" customWidth="1"/>
  </cols>
  <sheetData>
    <row r="1" spans="1:25" s="6" customFormat="1" ht="16.5">
      <c r="A1" s="33" t="s">
        <v>491</v>
      </c>
      <c r="B1" s="5" t="s">
        <v>492</v>
      </c>
      <c r="C1" s="48"/>
      <c r="L1" s="8"/>
      <c r="Y1" s="7"/>
    </row>
    <row r="2" spans="1:25" s="6" customFormat="1" ht="16.5">
      <c r="A2" s="33"/>
      <c r="B2" s="5" t="s">
        <v>493</v>
      </c>
      <c r="C2" s="48"/>
      <c r="I2" s="9"/>
      <c r="X2" s="7"/>
      <c r="Y2" s="7"/>
    </row>
    <row r="3" spans="1:25" s="6" customFormat="1" ht="16.5">
      <c r="A3" s="5" t="s">
        <v>494</v>
      </c>
      <c r="B3" s="5" t="s">
        <v>495</v>
      </c>
      <c r="C3" s="34"/>
      <c r="I3" s="9"/>
      <c r="X3" s="7"/>
      <c r="Y3" s="7"/>
    </row>
    <row r="4" spans="1:12" s="6" customFormat="1" ht="16.5">
      <c r="A4" s="33" t="s">
        <v>496</v>
      </c>
      <c r="B4" s="5" t="s">
        <v>497</v>
      </c>
      <c r="C4" s="34"/>
      <c r="L4" s="8"/>
    </row>
    <row r="5" spans="7:12" s="6" customFormat="1" ht="25.5" customHeight="1">
      <c r="G5" s="8"/>
      <c r="H5" s="8"/>
      <c r="I5" s="8"/>
      <c r="J5" s="8"/>
      <c r="K5" s="8"/>
      <c r="L5" s="8"/>
    </row>
    <row r="6" spans="1:12" s="80" customFormat="1" ht="24" customHeight="1">
      <c r="A6" s="76" t="s">
        <v>269</v>
      </c>
      <c r="B6" s="77"/>
      <c r="C6" s="77"/>
      <c r="D6" s="77"/>
      <c r="E6" s="77"/>
      <c r="F6" s="77"/>
      <c r="G6" s="77"/>
      <c r="H6" s="77"/>
      <c r="I6" s="77"/>
      <c r="J6" s="78"/>
      <c r="K6" s="79"/>
      <c r="L6" s="79"/>
    </row>
    <row r="7" spans="7:12" s="6" customFormat="1" ht="7.5" customHeight="1">
      <c r="G7" s="8"/>
      <c r="H7" s="8"/>
      <c r="I7" s="8"/>
      <c r="J7" s="8"/>
      <c r="K7" s="8"/>
      <c r="L7" s="8"/>
    </row>
    <row r="8" spans="1:12" s="6" customFormat="1" ht="15" customHeight="1">
      <c r="A8" s="10"/>
      <c r="G8" s="8"/>
      <c r="H8" s="8"/>
      <c r="I8" s="8"/>
      <c r="J8" s="8"/>
      <c r="K8" s="8"/>
      <c r="L8" s="8"/>
    </row>
    <row r="9" spans="1:12" s="6" customFormat="1" ht="15" customHeight="1">
      <c r="A9" s="10"/>
      <c r="G9" s="81"/>
      <c r="H9" s="82"/>
      <c r="I9" s="8"/>
      <c r="J9" s="8"/>
      <c r="K9" s="8"/>
      <c r="L9" s="8"/>
    </row>
    <row r="10" spans="6:10" s="6" customFormat="1" ht="16.5">
      <c r="F10" s="8"/>
      <c r="G10" s="8"/>
      <c r="H10" s="8"/>
      <c r="I10" s="8"/>
      <c r="J10" s="8"/>
    </row>
    <row r="11" spans="1:9" ht="21" customHeight="1">
      <c r="A11" s="145" t="s">
        <v>97</v>
      </c>
      <c r="B11" s="83"/>
      <c r="C11" s="83"/>
      <c r="D11" s="83"/>
      <c r="E11" s="83"/>
      <c r="F11" s="83"/>
      <c r="G11" s="83"/>
      <c r="H11" s="83"/>
      <c r="I11" s="83"/>
    </row>
    <row r="12" spans="6:7" s="6" customFormat="1" ht="16.5">
      <c r="F12" s="8"/>
      <c r="G12" s="8"/>
    </row>
    <row r="13" spans="1:8" ht="16.5">
      <c r="A13" s="37" t="s">
        <v>349</v>
      </c>
      <c r="B13" s="38"/>
      <c r="C13" s="38"/>
      <c r="D13" s="38"/>
      <c r="E13" s="38"/>
      <c r="H13" s="10"/>
    </row>
    <row r="14" spans="1:5" s="84" customFormat="1" ht="16.5">
      <c r="A14" s="35"/>
      <c r="E14" s="85"/>
    </row>
    <row r="15" spans="1:9" s="39" customFormat="1" ht="19.5" customHeight="1">
      <c r="A15" s="157" t="s">
        <v>62</v>
      </c>
      <c r="B15" s="157"/>
      <c r="C15" s="157"/>
      <c r="D15" s="157"/>
      <c r="E15" s="157"/>
      <c r="F15" s="157"/>
      <c r="G15" s="157"/>
      <c r="H15" s="157"/>
      <c r="I15" s="157"/>
    </row>
    <row r="16" spans="1:9" s="39" customFormat="1" ht="16.5">
      <c r="A16" s="39" t="s">
        <v>109</v>
      </c>
      <c r="B16" s="40">
        <v>8</v>
      </c>
      <c r="D16" s="86" t="s">
        <v>59</v>
      </c>
      <c r="E16" s="86" t="s">
        <v>94</v>
      </c>
      <c r="F16" s="86" t="s">
        <v>64</v>
      </c>
      <c r="G16" s="86" t="s">
        <v>65</v>
      </c>
      <c r="H16" s="87" t="s">
        <v>66</v>
      </c>
      <c r="I16" s="86" t="s">
        <v>67</v>
      </c>
    </row>
    <row r="17" spans="1:9" s="89" customFormat="1" ht="9.75" customHeight="1">
      <c r="A17" s="88"/>
      <c r="B17" s="88"/>
      <c r="C17" s="88"/>
      <c r="D17" s="88"/>
      <c r="E17" s="88"/>
      <c r="F17" s="88"/>
      <c r="G17" s="88"/>
      <c r="H17" s="88"/>
      <c r="I17" s="88"/>
    </row>
    <row r="18" spans="1:9" ht="15.75" customHeight="1">
      <c r="A18" s="156" t="s">
        <v>63</v>
      </c>
      <c r="B18" s="156"/>
      <c r="C18" s="156"/>
      <c r="D18" s="90"/>
      <c r="E18" s="47"/>
      <c r="F18" s="47"/>
      <c r="G18" s="47"/>
      <c r="H18" s="47"/>
      <c r="I18" s="47"/>
    </row>
    <row r="19" spans="1:9" ht="15.75" customHeight="1">
      <c r="A19" s="47" t="s">
        <v>98</v>
      </c>
      <c r="B19" s="11"/>
      <c r="C19" s="47"/>
      <c r="D19" s="90" t="s">
        <v>68</v>
      </c>
      <c r="E19" s="47">
        <v>2</v>
      </c>
      <c r="F19" s="47">
        <f>ROUND(E19*8/$B$16,4)</f>
        <v>2</v>
      </c>
      <c r="G19" s="47">
        <v>11.84</v>
      </c>
      <c r="H19" s="47">
        <f>ROUND(F19*G19,2)</f>
        <v>23.68</v>
      </c>
      <c r="I19" s="47"/>
    </row>
    <row r="20" spans="1:9" ht="15.75" customHeight="1">
      <c r="A20" s="47" t="s">
        <v>99</v>
      </c>
      <c r="B20" s="11"/>
      <c r="C20" s="47"/>
      <c r="D20" s="90" t="s">
        <v>68</v>
      </c>
      <c r="E20" s="47">
        <v>2</v>
      </c>
      <c r="F20" s="47">
        <f>ROUND(E20*8/$B$16,4)</f>
        <v>2</v>
      </c>
      <c r="G20" s="47">
        <v>10.7</v>
      </c>
      <c r="H20" s="47">
        <f>ROUND(F20*G20,2)</f>
        <v>21.4</v>
      </c>
      <c r="I20" s="47"/>
    </row>
    <row r="21" spans="1:9" ht="15.75" customHeight="1">
      <c r="A21" s="47" t="s">
        <v>100</v>
      </c>
      <c r="B21" s="11"/>
      <c r="C21" s="47"/>
      <c r="D21" s="90" t="s">
        <v>68</v>
      </c>
      <c r="E21" s="47">
        <v>1</v>
      </c>
      <c r="F21" s="47">
        <f>ROUND(E21*8/$B$16,4)</f>
        <v>1</v>
      </c>
      <c r="G21" s="47">
        <v>17.36</v>
      </c>
      <c r="H21" s="47">
        <f>ROUND(F21*G21,2)</f>
        <v>17.36</v>
      </c>
      <c r="I21" s="47">
        <f>SUM(H19:H21)</f>
        <v>62.44</v>
      </c>
    </row>
    <row r="22" spans="1:9" ht="15.75" customHeight="1">
      <c r="A22" s="156" t="s">
        <v>69</v>
      </c>
      <c r="B22" s="156"/>
      <c r="C22" s="156"/>
      <c r="D22" s="90"/>
      <c r="E22" s="47"/>
      <c r="F22" s="47"/>
      <c r="G22" s="47"/>
      <c r="H22" s="47"/>
      <c r="I22" s="47"/>
    </row>
    <row r="23" spans="1:9" ht="15.75" customHeight="1">
      <c r="A23" s="47" t="s">
        <v>101</v>
      </c>
      <c r="B23" s="11"/>
      <c r="C23" s="47"/>
      <c r="D23" s="90" t="s">
        <v>60</v>
      </c>
      <c r="E23" s="47"/>
      <c r="F23" s="47">
        <v>0.5</v>
      </c>
      <c r="G23" s="47">
        <v>60</v>
      </c>
      <c r="H23" s="47">
        <f>ROUND(F23*G23,2)</f>
        <v>30</v>
      </c>
      <c r="I23" s="47"/>
    </row>
    <row r="24" spans="1:9" ht="15.75" customHeight="1">
      <c r="A24" s="47" t="s">
        <v>102</v>
      </c>
      <c r="B24" s="11"/>
      <c r="C24" s="47"/>
      <c r="D24" s="90" t="s">
        <v>60</v>
      </c>
      <c r="E24" s="47"/>
      <c r="F24" s="47">
        <v>0.6666</v>
      </c>
      <c r="G24" s="47">
        <v>10</v>
      </c>
      <c r="H24" s="47">
        <f>ROUND(F24*G24,2)</f>
        <v>6.67</v>
      </c>
      <c r="I24" s="47"/>
    </row>
    <row r="25" spans="1:9" ht="15.75" customHeight="1">
      <c r="A25" s="47" t="s">
        <v>103</v>
      </c>
      <c r="B25" s="11"/>
      <c r="C25" s="47"/>
      <c r="D25" s="90" t="s">
        <v>60</v>
      </c>
      <c r="E25" s="47"/>
      <c r="F25" s="47">
        <v>0.3333</v>
      </c>
      <c r="G25" s="47">
        <v>250</v>
      </c>
      <c r="H25" s="47">
        <f>ROUND(F25*G25,2)</f>
        <v>83.33</v>
      </c>
      <c r="I25" s="47">
        <f>SUM(H23:H25)</f>
        <v>120</v>
      </c>
    </row>
    <row r="26" spans="1:9" ht="15.75" customHeight="1">
      <c r="A26" s="156" t="s">
        <v>70</v>
      </c>
      <c r="B26" s="156"/>
      <c r="C26" s="156"/>
      <c r="D26" s="90"/>
      <c r="E26" s="47"/>
      <c r="F26" s="47"/>
      <c r="G26" s="47"/>
      <c r="H26" s="47"/>
      <c r="I26" s="47"/>
    </row>
    <row r="27" spans="1:9" ht="15.75" customHeight="1">
      <c r="A27" s="47" t="s">
        <v>104</v>
      </c>
      <c r="B27" s="11"/>
      <c r="C27" s="47"/>
      <c r="D27" s="90" t="s">
        <v>61</v>
      </c>
      <c r="E27" s="47">
        <v>1</v>
      </c>
      <c r="F27" s="47">
        <f>ROUND(E27*8/$B$16,4)</f>
        <v>1</v>
      </c>
      <c r="G27" s="47">
        <v>222.32</v>
      </c>
      <c r="H27" s="47">
        <f>ROUND(F27*G27,2)</f>
        <v>222.32</v>
      </c>
      <c r="I27" s="47"/>
    </row>
    <row r="28" spans="1:9" ht="15.75" customHeight="1">
      <c r="A28" s="47" t="s">
        <v>105</v>
      </c>
      <c r="B28" s="11"/>
      <c r="C28" s="47"/>
      <c r="D28" s="90" t="s">
        <v>61</v>
      </c>
      <c r="E28" s="47">
        <v>1</v>
      </c>
      <c r="F28" s="47">
        <f>ROUND(E28*8/$B$16,4)</f>
        <v>1</v>
      </c>
      <c r="G28" s="47">
        <v>33.24</v>
      </c>
      <c r="H28" s="47">
        <f>ROUND(F28*G28,2)</f>
        <v>33.24</v>
      </c>
      <c r="I28" s="47">
        <f>SUM(H27:H28)</f>
        <v>255.56</v>
      </c>
    </row>
    <row r="29" spans="1:9" s="89" customFormat="1" ht="9.75" customHeight="1">
      <c r="A29" s="88"/>
      <c r="B29" s="88"/>
      <c r="C29" s="88"/>
      <c r="D29" s="88"/>
      <c r="E29" s="88"/>
      <c r="F29" s="88"/>
      <c r="G29" s="88"/>
      <c r="H29" s="88"/>
      <c r="I29" s="88"/>
    </row>
    <row r="30" spans="1:9" s="4" customFormat="1" ht="18" customHeight="1">
      <c r="A30" s="154" t="s">
        <v>106</v>
      </c>
      <c r="B30" s="154"/>
      <c r="C30" s="154"/>
      <c r="D30" s="154"/>
      <c r="E30" s="154"/>
      <c r="F30" s="154"/>
      <c r="G30" s="154"/>
      <c r="H30" s="154"/>
      <c r="I30" s="3">
        <f>SUM(I17:I29)</f>
        <v>438</v>
      </c>
    </row>
    <row r="31" spans="1:9" s="4" customFormat="1" ht="18" customHeight="1">
      <c r="A31" s="154" t="s">
        <v>107</v>
      </c>
      <c r="B31" s="154"/>
      <c r="C31" s="154"/>
      <c r="D31" s="154"/>
      <c r="E31" s="154"/>
      <c r="F31" s="154"/>
      <c r="G31" s="154"/>
      <c r="H31" s="154"/>
      <c r="I31" s="3">
        <v>55.442</v>
      </c>
    </row>
    <row r="32" spans="1:9" s="4" customFormat="1" ht="18" customHeight="1">
      <c r="A32" s="154" t="s">
        <v>108</v>
      </c>
      <c r="B32" s="154"/>
      <c r="C32" s="154"/>
      <c r="D32" s="154"/>
      <c r="E32" s="154"/>
      <c r="F32" s="154"/>
      <c r="G32" s="154"/>
      <c r="H32" s="154"/>
      <c r="I32" s="3">
        <v>4</v>
      </c>
    </row>
    <row r="33" spans="1:9" s="89" customFormat="1" ht="19.5" customHeight="1">
      <c r="A33" s="155" t="s">
        <v>112</v>
      </c>
      <c r="B33" s="155"/>
      <c r="C33" s="155"/>
      <c r="D33" s="155"/>
      <c r="E33" s="155"/>
      <c r="F33" s="155"/>
      <c r="G33" s="155"/>
      <c r="H33" s="155"/>
      <c r="I33" s="2">
        <f>ROUND(I30*I31*I32,2)</f>
        <v>97134.38</v>
      </c>
    </row>
    <row r="34" spans="1:6" s="4" customFormat="1" ht="19.5" customHeight="1">
      <c r="A34" s="1"/>
      <c r="B34" s="1"/>
      <c r="C34" s="1"/>
      <c r="D34" s="1"/>
      <c r="E34" s="2"/>
      <c r="F34" s="3"/>
    </row>
    <row r="35" spans="1:8" ht="16.5">
      <c r="A35" s="37" t="s">
        <v>348</v>
      </c>
      <c r="B35" s="38"/>
      <c r="C35" s="38"/>
      <c r="D35" s="38"/>
      <c r="E35" s="38"/>
      <c r="H35" s="10"/>
    </row>
    <row r="36" spans="1:3" ht="16.5">
      <c r="A36" s="39"/>
      <c r="B36" s="39"/>
      <c r="C36" s="39"/>
    </row>
    <row r="37" spans="1:9" s="39" customFormat="1" ht="19.5" customHeight="1">
      <c r="A37" s="157" t="s">
        <v>62</v>
      </c>
      <c r="B37" s="157"/>
      <c r="C37" s="157"/>
      <c r="D37" s="157"/>
      <c r="E37" s="157"/>
      <c r="F37" s="157"/>
      <c r="G37" s="157"/>
      <c r="H37" s="157"/>
      <c r="I37" s="157"/>
    </row>
    <row r="38" spans="1:9" s="39" customFormat="1" ht="16.5">
      <c r="A38" s="39" t="s">
        <v>109</v>
      </c>
      <c r="B38" s="40">
        <v>40</v>
      </c>
      <c r="C38" s="10"/>
      <c r="D38" s="86" t="s">
        <v>59</v>
      </c>
      <c r="E38" s="86" t="s">
        <v>94</v>
      </c>
      <c r="F38" s="86" t="s">
        <v>64</v>
      </c>
      <c r="G38" s="86" t="s">
        <v>65</v>
      </c>
      <c r="H38" s="87" t="s">
        <v>66</v>
      </c>
      <c r="I38" s="86" t="s">
        <v>67</v>
      </c>
    </row>
    <row r="39" spans="1:9" s="89" customFormat="1" ht="9.75" customHeight="1">
      <c r="A39" s="88"/>
      <c r="B39" s="88"/>
      <c r="C39" s="88"/>
      <c r="D39" s="88"/>
      <c r="E39" s="88"/>
      <c r="F39" s="88"/>
      <c r="G39" s="88"/>
      <c r="H39" s="88"/>
      <c r="I39" s="88"/>
    </row>
    <row r="40" spans="1:9" ht="15.75" customHeight="1">
      <c r="A40" s="156" t="s">
        <v>63</v>
      </c>
      <c r="B40" s="156"/>
      <c r="C40" s="156"/>
      <c r="D40" s="90"/>
      <c r="E40" s="47"/>
      <c r="F40" s="47"/>
      <c r="G40" s="47"/>
      <c r="H40" s="47"/>
      <c r="I40" s="47"/>
    </row>
    <row r="41" spans="1:9" ht="15.75" customHeight="1">
      <c r="A41" s="47" t="str">
        <f>A19</f>
        <v>OFICIAL</v>
      </c>
      <c r="B41" s="11"/>
      <c r="C41" s="47"/>
      <c r="D41" s="90" t="s">
        <v>68</v>
      </c>
      <c r="E41" s="47">
        <v>2</v>
      </c>
      <c r="F41" s="47">
        <f>+E41*8/$B$38</f>
        <v>0.4</v>
      </c>
      <c r="G41" s="47">
        <f>G19</f>
        <v>11.84</v>
      </c>
      <c r="H41" s="47">
        <f>ROUND(F41*G41,2)</f>
        <v>4.74</v>
      </c>
      <c r="I41" s="47"/>
    </row>
    <row r="42" spans="1:9" ht="15.75" customHeight="1">
      <c r="A42" s="47" t="str">
        <f>A20</f>
        <v>PEON</v>
      </c>
      <c r="B42" s="11"/>
      <c r="C42" s="47"/>
      <c r="D42" s="90" t="s">
        <v>68</v>
      </c>
      <c r="E42" s="47">
        <v>2</v>
      </c>
      <c r="F42" s="47">
        <f>+E42*8/$B$38</f>
        <v>0.4</v>
      </c>
      <c r="G42" s="47">
        <f>G20</f>
        <v>10.7</v>
      </c>
      <c r="H42" s="47">
        <f>ROUND(F42*G42,2)</f>
        <v>4.28</v>
      </c>
      <c r="I42" s="47"/>
    </row>
    <row r="43" spans="1:9" ht="15.75" customHeight="1">
      <c r="A43" s="47" t="str">
        <f>A21</f>
        <v>TÉCNICO</v>
      </c>
      <c r="B43" s="11"/>
      <c r="C43" s="47"/>
      <c r="D43" s="90" t="s">
        <v>68</v>
      </c>
      <c r="E43" s="47">
        <v>1</v>
      </c>
      <c r="F43" s="47">
        <f>+E43*8/$B$38</f>
        <v>0.2</v>
      </c>
      <c r="G43" s="47">
        <f>G21</f>
        <v>17.36</v>
      </c>
      <c r="H43" s="47">
        <f>ROUND(F43*G43,2)</f>
        <v>3.47</v>
      </c>
      <c r="I43" s="47">
        <f>ROUND(SUM(H41:H43)*1.5573,2)</f>
        <v>19.45</v>
      </c>
    </row>
    <row r="44" spans="1:9" ht="15.75" customHeight="1">
      <c r="A44" s="156" t="s">
        <v>69</v>
      </c>
      <c r="B44" s="156"/>
      <c r="C44" s="156"/>
      <c r="D44" s="90"/>
      <c r="E44" s="47"/>
      <c r="F44" s="47"/>
      <c r="G44" s="47"/>
      <c r="H44" s="47"/>
      <c r="I44" s="47"/>
    </row>
    <row r="45" spans="1:9" ht="15.75" customHeight="1">
      <c r="A45" s="47" t="s">
        <v>101</v>
      </c>
      <c r="B45" s="11"/>
      <c r="C45" s="47"/>
      <c r="D45" s="90" t="s">
        <v>60</v>
      </c>
      <c r="E45" s="47"/>
      <c r="F45" s="47">
        <v>0.3333</v>
      </c>
      <c r="G45" s="47">
        <f>+G23</f>
        <v>60</v>
      </c>
      <c r="H45" s="47">
        <f>ROUND(F45*G45,2)</f>
        <v>20</v>
      </c>
      <c r="I45" s="47"/>
    </row>
    <row r="46" spans="1:9" ht="15.75" customHeight="1">
      <c r="A46" s="47" t="str">
        <f>A24</f>
        <v>CHALECO DE SEGURIDAD</v>
      </c>
      <c r="B46" s="11"/>
      <c r="C46" s="47"/>
      <c r="D46" s="90" t="s">
        <v>60</v>
      </c>
      <c r="E46" s="47"/>
      <c r="F46" s="47">
        <v>0.3333</v>
      </c>
      <c r="G46" s="47">
        <f>G24</f>
        <v>10</v>
      </c>
      <c r="H46" s="47">
        <f>ROUND(F46*G46,2)</f>
        <v>3.33</v>
      </c>
      <c r="I46" s="47">
        <f>SUM(H45:H46)</f>
        <v>23.33</v>
      </c>
    </row>
    <row r="47" spans="1:9" ht="15.75" customHeight="1">
      <c r="A47" s="47"/>
      <c r="B47" s="11"/>
      <c r="C47" s="47"/>
      <c r="D47" s="90"/>
      <c r="E47" s="47"/>
      <c r="F47" s="47"/>
      <c r="G47" s="47"/>
      <c r="H47" s="47"/>
      <c r="I47" s="47"/>
    </row>
    <row r="48" spans="1:9" ht="15.75" customHeight="1">
      <c r="A48" s="156" t="s">
        <v>70</v>
      </c>
      <c r="B48" s="156"/>
      <c r="C48" s="156"/>
      <c r="D48" s="90"/>
      <c r="E48" s="47"/>
      <c r="F48" s="47"/>
      <c r="G48" s="47"/>
      <c r="H48" s="47"/>
      <c r="I48" s="47"/>
    </row>
    <row r="49" spans="1:9" ht="15.75" customHeight="1">
      <c r="A49" s="47" t="s">
        <v>110</v>
      </c>
      <c r="B49" s="11"/>
      <c r="C49" s="47"/>
      <c r="D49" s="90" t="s">
        <v>61</v>
      </c>
      <c r="E49" s="47">
        <v>1</v>
      </c>
      <c r="F49" s="47">
        <f>+E49*8/$B$38</f>
        <v>0.2</v>
      </c>
      <c r="G49" s="47">
        <v>19.95</v>
      </c>
      <c r="H49" s="47">
        <f>ROUND(F49*G49,2)</f>
        <v>3.99</v>
      </c>
      <c r="I49" s="47"/>
    </row>
    <row r="50" spans="1:9" ht="15.75" customHeight="1">
      <c r="A50" s="47" t="s">
        <v>111</v>
      </c>
      <c r="B50" s="11"/>
      <c r="C50" s="47"/>
      <c r="D50" s="90" t="s">
        <v>23</v>
      </c>
      <c r="E50" s="47"/>
      <c r="F50" s="47">
        <v>1</v>
      </c>
      <c r="G50" s="47">
        <v>8</v>
      </c>
      <c r="H50" s="47">
        <f>ROUND(F50*G50,2)</f>
        <v>8</v>
      </c>
      <c r="I50" s="47">
        <f>SUM(H49:H50)</f>
        <v>11.99</v>
      </c>
    </row>
    <row r="51" spans="1:9" s="89" customFormat="1" ht="9.75" customHeight="1">
      <c r="A51" s="88"/>
      <c r="B51" s="88"/>
      <c r="C51" s="88"/>
      <c r="D51" s="88"/>
      <c r="E51" s="88"/>
      <c r="F51" s="88"/>
      <c r="G51" s="88"/>
      <c r="H51" s="88"/>
      <c r="I51" s="88"/>
    </row>
    <row r="52" spans="1:9" s="4" customFormat="1" ht="18" customHeight="1">
      <c r="A52" s="154" t="s">
        <v>106</v>
      </c>
      <c r="B52" s="154"/>
      <c r="C52" s="154"/>
      <c r="D52" s="154"/>
      <c r="E52" s="154"/>
      <c r="F52" s="154"/>
      <c r="G52" s="154"/>
      <c r="H52" s="154"/>
      <c r="I52" s="3">
        <f>SUM(I39:I51)</f>
        <v>54.77</v>
      </c>
    </row>
    <row r="53" spans="1:9" s="4" customFormat="1" ht="18" customHeight="1">
      <c r="A53" s="154" t="s">
        <v>107</v>
      </c>
      <c r="B53" s="154"/>
      <c r="C53" s="154"/>
      <c r="D53" s="154"/>
      <c r="E53" s="154"/>
      <c r="F53" s="154"/>
      <c r="G53" s="154"/>
      <c r="H53" s="154"/>
      <c r="I53" s="3">
        <f>I31</f>
        <v>55.442</v>
      </c>
    </row>
    <row r="54" spans="1:9" s="4" customFormat="1" ht="18" customHeight="1">
      <c r="A54" s="154" t="s">
        <v>108</v>
      </c>
      <c r="B54" s="154"/>
      <c r="C54" s="154"/>
      <c r="D54" s="154"/>
      <c r="E54" s="154"/>
      <c r="F54" s="154"/>
      <c r="G54" s="154"/>
      <c r="H54" s="154"/>
      <c r="I54" s="3">
        <v>2</v>
      </c>
    </row>
    <row r="55" spans="1:9" s="89" customFormat="1" ht="19.5" customHeight="1">
      <c r="A55" s="155" t="s">
        <v>113</v>
      </c>
      <c r="B55" s="155"/>
      <c r="C55" s="155"/>
      <c r="D55" s="155"/>
      <c r="E55" s="155"/>
      <c r="F55" s="155"/>
      <c r="G55" s="155"/>
      <c r="H55" s="155"/>
      <c r="I55" s="2">
        <f>ROUND(I52*I53*I54,2)</f>
        <v>6073.12</v>
      </c>
    </row>
    <row r="57" spans="1:7" ht="10.5" customHeight="1">
      <c r="A57" s="91"/>
      <c r="B57" s="39"/>
      <c r="C57" s="91"/>
      <c r="D57" s="91"/>
      <c r="G57" s="39"/>
    </row>
    <row r="58" spans="1:7" ht="10.5" customHeight="1">
      <c r="A58" s="91"/>
      <c r="B58" s="39"/>
      <c r="C58" s="91"/>
      <c r="D58" s="91"/>
      <c r="G58" s="39"/>
    </row>
    <row r="59" spans="1:7" ht="10.5" customHeight="1">
      <c r="A59" s="91"/>
      <c r="B59" s="39"/>
      <c r="C59" s="91"/>
      <c r="D59" s="91"/>
      <c r="G59" s="39"/>
    </row>
    <row r="61" spans="3:8" ht="16.5">
      <c r="C61" s="92"/>
      <c r="H61" s="10"/>
    </row>
  </sheetData>
  <mergeCells count="16">
    <mergeCell ref="A37:I37"/>
    <mergeCell ref="A15:I15"/>
    <mergeCell ref="A18:C18"/>
    <mergeCell ref="A22:C22"/>
    <mergeCell ref="A26:C26"/>
    <mergeCell ref="A30:H30"/>
    <mergeCell ref="A31:H31"/>
    <mergeCell ref="A33:H33"/>
    <mergeCell ref="A32:H32"/>
    <mergeCell ref="A53:H53"/>
    <mergeCell ref="A54:H54"/>
    <mergeCell ref="A55:H55"/>
    <mergeCell ref="A40:C40"/>
    <mergeCell ref="A44:C44"/>
    <mergeCell ref="A48:C48"/>
    <mergeCell ref="A52:H52"/>
  </mergeCells>
  <printOptions horizontalCentered="1"/>
  <pageMargins left="0.7874015748031497" right="0.5905511811023623" top="0.5905511811023623" bottom="1.3779527559055118" header="0" footer="0.2755905511811024"/>
  <pageSetup horizontalDpi="600" verticalDpi="600" orientation="portrait" paperSize="9" scale="75" r:id="rId1"/>
  <headerFooter alignWithMargins="0">
    <oddFooter>&amp;C&amp;8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59"/>
  <sheetViews>
    <sheetView view="pageBreakPreview" zoomScaleSheetLayoutView="100" workbookViewId="0" topLeftCell="A47">
      <selection activeCell="A11" sqref="A11"/>
    </sheetView>
  </sheetViews>
  <sheetFormatPr defaultColWidth="12.57421875" defaultRowHeight="12.75"/>
  <cols>
    <col min="1" max="1" width="3.7109375" style="21" customWidth="1"/>
    <col min="2" max="2" width="8.7109375" style="21" customWidth="1"/>
    <col min="3" max="3" width="12.7109375" style="21" customWidth="1"/>
    <col min="4" max="4" width="6.7109375" style="21" customWidth="1"/>
    <col min="5" max="5" width="5.7109375" style="21" customWidth="1"/>
    <col min="6" max="6" width="24.00390625" style="21" customWidth="1"/>
    <col min="7" max="7" width="9.7109375" style="21" customWidth="1"/>
    <col min="8" max="8" width="7.7109375" style="21" customWidth="1"/>
    <col min="9" max="12" width="5.7109375" style="21" customWidth="1"/>
    <col min="13" max="13" width="15.7109375" style="21" customWidth="1"/>
    <col min="14" max="14" width="6.140625" style="21" customWidth="1"/>
    <col min="15" max="15" width="15.140625" style="21" customWidth="1"/>
    <col min="16" max="16384" width="12.57421875" style="21" customWidth="1"/>
  </cols>
  <sheetData>
    <row r="1" spans="1:28" s="42" customFormat="1" ht="16.5">
      <c r="A1" s="33" t="s">
        <v>491</v>
      </c>
      <c r="B1" s="48"/>
      <c r="C1" s="5" t="s">
        <v>492</v>
      </c>
      <c r="E1" s="6"/>
      <c r="J1" s="43"/>
      <c r="O1" s="44"/>
      <c r="AB1" s="43"/>
    </row>
    <row r="2" spans="1:28" s="42" customFormat="1" ht="16.5">
      <c r="A2" s="33"/>
      <c r="B2" s="48"/>
      <c r="C2" s="5" t="s">
        <v>493</v>
      </c>
      <c r="E2" s="6"/>
      <c r="K2" s="43"/>
      <c r="L2" s="43"/>
      <c r="M2" s="45"/>
      <c r="AA2" s="43"/>
      <c r="AB2" s="43"/>
    </row>
    <row r="3" spans="1:28" s="42" customFormat="1" ht="16.5">
      <c r="A3" s="5" t="s">
        <v>494</v>
      </c>
      <c r="B3" s="34"/>
      <c r="C3" s="5" t="s">
        <v>495</v>
      </c>
      <c r="E3" s="6"/>
      <c r="I3" s="21"/>
      <c r="K3" s="43"/>
      <c r="L3" s="43"/>
      <c r="M3" s="45"/>
      <c r="AA3" s="43"/>
      <c r="AB3" s="43"/>
    </row>
    <row r="4" spans="1:15" s="42" customFormat="1" ht="16.5">
      <c r="A4" s="33" t="s">
        <v>496</v>
      </c>
      <c r="B4" s="34"/>
      <c r="C4" s="5" t="s">
        <v>497</v>
      </c>
      <c r="E4" s="6"/>
      <c r="O4" s="44"/>
    </row>
    <row r="5" spans="7:15" s="42" customFormat="1" ht="25.5" customHeight="1">
      <c r="G5" s="44"/>
      <c r="H5" s="44"/>
      <c r="I5" s="44"/>
      <c r="J5" s="44"/>
      <c r="K5" s="44"/>
      <c r="L5" s="44"/>
      <c r="M5" s="44"/>
      <c r="N5" s="44"/>
      <c r="O5" s="44"/>
    </row>
    <row r="6" spans="1:15" s="53" customFormat="1" ht="24" customHeight="1">
      <c r="A6" s="49" t="s">
        <v>269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1"/>
      <c r="M6" s="51"/>
      <c r="N6" s="52"/>
      <c r="O6" s="52"/>
    </row>
    <row r="7" spans="7:15" s="42" customFormat="1" ht="7.5" customHeight="1">
      <c r="G7" s="44"/>
      <c r="H7" s="44"/>
      <c r="I7" s="44"/>
      <c r="J7" s="44"/>
      <c r="K7" s="44"/>
      <c r="L7" s="44"/>
      <c r="M7" s="44"/>
      <c r="N7" s="44"/>
      <c r="O7" s="44"/>
    </row>
    <row r="8" spans="1:15" s="42" customFormat="1" ht="15" customHeight="1">
      <c r="A8" s="21"/>
      <c r="G8" s="44"/>
      <c r="H8" s="44"/>
      <c r="I8" s="44"/>
      <c r="J8" s="44"/>
      <c r="K8" s="44"/>
      <c r="L8" s="44"/>
      <c r="M8" s="44"/>
      <c r="N8" s="44"/>
      <c r="O8" s="44"/>
    </row>
    <row r="9" spans="1:15" s="42" customFormat="1" ht="15" customHeight="1">
      <c r="A9" s="21"/>
      <c r="G9" s="54"/>
      <c r="H9" s="5"/>
      <c r="I9" s="44"/>
      <c r="J9" s="44"/>
      <c r="K9" s="44"/>
      <c r="L9" s="44"/>
      <c r="M9" s="44"/>
      <c r="N9" s="44"/>
      <c r="O9" s="44"/>
    </row>
    <row r="10" spans="6:7" s="42" customFormat="1" ht="16.5">
      <c r="F10" s="44"/>
      <c r="G10" s="44"/>
    </row>
    <row r="11" spans="1:13" ht="16.5">
      <c r="A11" s="146" t="s">
        <v>58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6:7" s="42" customFormat="1" ht="16.5">
      <c r="F12" s="44"/>
      <c r="G12" s="44"/>
    </row>
    <row r="13" spans="1:5" ht="16.5">
      <c r="A13" s="56" t="s">
        <v>118</v>
      </c>
      <c r="B13" s="57"/>
      <c r="C13" s="57"/>
      <c r="D13" s="57"/>
      <c r="E13" s="57"/>
    </row>
    <row r="14" spans="1:5" s="42" customFormat="1" ht="9.75" customHeight="1">
      <c r="A14" s="16"/>
      <c r="E14" s="5"/>
    </row>
    <row r="15" spans="2:13" ht="15.75" customHeight="1">
      <c r="B15" s="21" t="s">
        <v>44</v>
      </c>
      <c r="C15" s="64">
        <v>0.01</v>
      </c>
      <c r="F15" s="21" t="s">
        <v>45</v>
      </c>
      <c r="G15" s="64">
        <v>0.015</v>
      </c>
      <c r="L15" s="47"/>
      <c r="M15" s="46"/>
    </row>
    <row r="16" spans="6:12" ht="15.75" customHeight="1">
      <c r="F16" s="21" t="s">
        <v>46</v>
      </c>
      <c r="G16" s="65">
        <v>3</v>
      </c>
      <c r="L16" s="47"/>
    </row>
    <row r="17" spans="6:13" ht="15.75" customHeight="1">
      <c r="F17" s="21" t="s">
        <v>52</v>
      </c>
      <c r="G17" s="74"/>
      <c r="L17" s="47"/>
      <c r="M17" s="61">
        <f>ROUND(F20*C15,2)</f>
        <v>1416042.51</v>
      </c>
    </row>
    <row r="18" spans="6:13" ht="15.75" customHeight="1" hidden="1">
      <c r="F18" s="21" t="s">
        <v>53</v>
      </c>
      <c r="G18" s="74">
        <v>0.2</v>
      </c>
      <c r="L18" s="47"/>
      <c r="M18" s="61">
        <f>ROUND(M17*G18,2)</f>
        <v>283208.5</v>
      </c>
    </row>
    <row r="19" spans="7:13" ht="9.75" customHeight="1">
      <c r="G19" s="74"/>
      <c r="L19" s="47"/>
      <c r="M19" s="61"/>
    </row>
    <row r="20" spans="2:15" ht="19.5" customHeight="1">
      <c r="B20" s="21" t="s">
        <v>47</v>
      </c>
      <c r="E20" s="45" t="s">
        <v>11</v>
      </c>
      <c r="F20" s="19">
        <f>+FIJOS!F86</f>
        <v>141604250.64</v>
      </c>
      <c r="I20" s="16" t="s">
        <v>120</v>
      </c>
      <c r="J20" s="16"/>
      <c r="K20" s="16"/>
      <c r="L20" s="16"/>
      <c r="M20" s="62">
        <f>ROUND(M17*G15*G16/12,2)</f>
        <v>5310.16</v>
      </c>
      <c r="O20" s="47"/>
    </row>
    <row r="21" ht="19.5" customHeight="1">
      <c r="F21" s="47"/>
    </row>
    <row r="22" spans="1:5" ht="16.5">
      <c r="A22" s="56" t="s">
        <v>121</v>
      </c>
      <c r="B22" s="57"/>
      <c r="C22" s="57"/>
      <c r="D22" s="57"/>
      <c r="E22" s="57"/>
    </row>
    <row r="23" spans="1:5" s="42" customFormat="1" ht="9.75" customHeight="1">
      <c r="A23" s="16"/>
      <c r="E23" s="5"/>
    </row>
    <row r="24" spans="2:12" ht="15.75" customHeight="1">
      <c r="B24" s="21" t="s">
        <v>44</v>
      </c>
      <c r="C24" s="64">
        <v>0.1</v>
      </c>
      <c r="F24" s="21" t="s">
        <v>45</v>
      </c>
      <c r="G24" s="64">
        <f>+G15</f>
        <v>0.015</v>
      </c>
      <c r="L24" s="47"/>
    </row>
    <row r="25" spans="6:12" ht="15.75" customHeight="1">
      <c r="F25" s="21" t="s">
        <v>48</v>
      </c>
      <c r="G25" s="65">
        <f>+VARIABLES!D11+3</f>
        <v>21</v>
      </c>
      <c r="L25" s="47"/>
    </row>
    <row r="26" spans="6:13" ht="15.75" customHeight="1">
      <c r="F26" s="21" t="s">
        <v>52</v>
      </c>
      <c r="G26" s="74"/>
      <c r="L26" s="47"/>
      <c r="M26" s="61">
        <f>ROUND(F29*C24,2)</f>
        <v>14160425.06</v>
      </c>
    </row>
    <row r="27" spans="6:13" ht="15.75" customHeight="1" hidden="1">
      <c r="F27" s="21" t="s">
        <v>53</v>
      </c>
      <c r="G27" s="74">
        <v>0.2</v>
      </c>
      <c r="L27" s="47"/>
      <c r="M27" s="61">
        <f>ROUND(M26*G27,2)</f>
        <v>2832085.01</v>
      </c>
    </row>
    <row r="28" spans="7:13" ht="9.75" customHeight="1">
      <c r="G28" s="74"/>
      <c r="L28" s="47"/>
      <c r="M28" s="61"/>
    </row>
    <row r="29" spans="2:15" ht="19.5" customHeight="1">
      <c r="B29" s="21" t="s">
        <v>47</v>
      </c>
      <c r="E29" s="45" t="s">
        <v>11</v>
      </c>
      <c r="F29" s="47">
        <f>+F20</f>
        <v>141604250.64</v>
      </c>
      <c r="I29" s="16" t="s">
        <v>120</v>
      </c>
      <c r="J29" s="16"/>
      <c r="K29" s="16"/>
      <c r="L29" s="16"/>
      <c r="M29" s="62">
        <f>ROUND(M26*G24*G25/12,2)</f>
        <v>371711.16</v>
      </c>
      <c r="O29" s="47"/>
    </row>
    <row r="30" ht="19.5" customHeight="1">
      <c r="F30" s="47"/>
    </row>
    <row r="31" spans="1:5" ht="16.5">
      <c r="A31" s="56" t="s">
        <v>198</v>
      </c>
      <c r="B31" s="57"/>
      <c r="C31" s="57"/>
      <c r="D31" s="57"/>
      <c r="E31" s="57"/>
    </row>
    <row r="32" spans="1:5" s="42" customFormat="1" ht="9.75" customHeight="1">
      <c r="A32" s="16"/>
      <c r="E32" s="5"/>
    </row>
    <row r="33" spans="2:13" ht="15.75" customHeight="1">
      <c r="B33" s="21" t="s">
        <v>44</v>
      </c>
      <c r="C33" s="64">
        <v>0.2</v>
      </c>
      <c r="F33" s="21" t="s">
        <v>45</v>
      </c>
      <c r="G33" s="64">
        <f>+G24</f>
        <v>0.015</v>
      </c>
      <c r="L33" s="47"/>
      <c r="M33" s="75"/>
    </row>
    <row r="34" spans="6:12" ht="15.75" customHeight="1">
      <c r="F34" s="21" t="s">
        <v>49</v>
      </c>
      <c r="G34" s="75">
        <f>+VARIABLES!D11/1.5</f>
        <v>12</v>
      </c>
      <c r="H34" s="21" t="s">
        <v>50</v>
      </c>
      <c r="L34" s="47"/>
    </row>
    <row r="35" spans="6:13" ht="15.75" customHeight="1">
      <c r="F35" s="21" t="s">
        <v>52</v>
      </c>
      <c r="G35" s="74"/>
      <c r="L35" s="47"/>
      <c r="M35" s="61">
        <f>ROUND(F39*C33,2)</f>
        <v>28320850.13</v>
      </c>
    </row>
    <row r="36" spans="6:13" ht="15.75" customHeight="1" hidden="1">
      <c r="F36" s="21" t="s">
        <v>53</v>
      </c>
      <c r="G36" s="74">
        <v>0.2</v>
      </c>
      <c r="L36" s="47"/>
      <c r="M36" s="61">
        <f>ROUND(M35*G36,2)</f>
        <v>5664170.03</v>
      </c>
    </row>
    <row r="37" spans="4:8" ht="15.75" customHeight="1">
      <c r="D37" s="21" t="s">
        <v>51</v>
      </c>
      <c r="G37" s="21">
        <v>3</v>
      </c>
      <c r="H37" s="21" t="s">
        <v>50</v>
      </c>
    </row>
    <row r="38" spans="7:13" ht="9.75" customHeight="1">
      <c r="G38" s="74"/>
      <c r="L38" s="47"/>
      <c r="M38" s="61"/>
    </row>
    <row r="39" spans="2:15" ht="19.5" customHeight="1">
      <c r="B39" s="21" t="s">
        <v>47</v>
      </c>
      <c r="E39" s="45" t="s">
        <v>11</v>
      </c>
      <c r="F39" s="47">
        <f>+F29</f>
        <v>141604250.64</v>
      </c>
      <c r="I39" s="16" t="s">
        <v>120</v>
      </c>
      <c r="J39" s="16"/>
      <c r="K39" s="16"/>
      <c r="L39" s="16"/>
      <c r="M39" s="62">
        <f>ROUND(M35*G33*G34/12,2)</f>
        <v>424812.75</v>
      </c>
      <c r="O39" s="47"/>
    </row>
    <row r="40" ht="19.5" customHeight="1">
      <c r="F40" s="47"/>
    </row>
    <row r="41" spans="1:5" ht="16.5">
      <c r="A41" s="56" t="s">
        <v>199</v>
      </c>
      <c r="B41" s="57"/>
      <c r="C41" s="57"/>
      <c r="D41" s="57"/>
      <c r="E41" s="57"/>
    </row>
    <row r="42" spans="1:5" s="42" customFormat="1" ht="9.75" customHeight="1">
      <c r="A42" s="16"/>
      <c r="E42" s="5"/>
    </row>
    <row r="43" spans="2:12" ht="15.75" customHeight="1">
      <c r="B43" s="21" t="s">
        <v>44</v>
      </c>
      <c r="C43" s="64">
        <v>0.4</v>
      </c>
      <c r="F43" s="21" t="s">
        <v>45</v>
      </c>
      <c r="G43" s="64">
        <f>+G33</f>
        <v>0.015</v>
      </c>
      <c r="L43" s="47"/>
    </row>
    <row r="44" spans="6:12" ht="15.75" customHeight="1">
      <c r="F44" s="21" t="s">
        <v>49</v>
      </c>
      <c r="G44" s="75">
        <f>+VARIABLES!D11/1.5</f>
        <v>12</v>
      </c>
      <c r="H44" s="21" t="s">
        <v>50</v>
      </c>
      <c r="L44" s="47"/>
    </row>
    <row r="45" spans="6:13" ht="15.75" customHeight="1">
      <c r="F45" s="21" t="s">
        <v>52</v>
      </c>
      <c r="G45" s="74"/>
      <c r="L45" s="47"/>
      <c r="M45" s="61">
        <f>ROUND(F48*C43,2)</f>
        <v>56641700.26</v>
      </c>
    </row>
    <row r="46" spans="6:13" ht="15.75" customHeight="1" hidden="1">
      <c r="F46" s="21" t="s">
        <v>53</v>
      </c>
      <c r="G46" s="74">
        <v>0.2</v>
      </c>
      <c r="L46" s="47"/>
      <c r="M46" s="61">
        <f>ROUND(M45*G46,2)</f>
        <v>11328340.05</v>
      </c>
    </row>
    <row r="47" spans="7:13" ht="9.75" customHeight="1">
      <c r="G47" s="74"/>
      <c r="L47" s="47"/>
      <c r="M47" s="61"/>
    </row>
    <row r="48" spans="2:15" ht="19.5" customHeight="1">
      <c r="B48" s="21" t="s">
        <v>47</v>
      </c>
      <c r="E48" s="45" t="s">
        <v>11</v>
      </c>
      <c r="F48" s="47">
        <f>+F39</f>
        <v>141604250.64</v>
      </c>
      <c r="I48" s="16" t="s">
        <v>120</v>
      </c>
      <c r="J48" s="16"/>
      <c r="K48" s="16"/>
      <c r="L48" s="16"/>
      <c r="M48" s="62">
        <f>ROUND(M45*G43*G44/12,2)</f>
        <v>849625.5</v>
      </c>
      <c r="O48" s="47"/>
    </row>
    <row r="49" ht="19.5" customHeight="1">
      <c r="F49" s="47"/>
    </row>
    <row r="50" spans="1:5" ht="16.5">
      <c r="A50" s="56" t="s">
        <v>122</v>
      </c>
      <c r="B50" s="57"/>
      <c r="C50" s="57"/>
      <c r="D50" s="57"/>
      <c r="E50" s="57"/>
    </row>
    <row r="51" spans="1:5" s="42" customFormat="1" ht="9.75" customHeight="1">
      <c r="A51" s="16"/>
      <c r="E51" s="5"/>
    </row>
    <row r="52" spans="2:12" ht="15.75" customHeight="1">
      <c r="B52" s="21" t="s">
        <v>44</v>
      </c>
      <c r="C52" s="64">
        <v>0.025</v>
      </c>
      <c r="F52" s="21" t="s">
        <v>45</v>
      </c>
      <c r="G52" s="64">
        <f>+G33</f>
        <v>0.015</v>
      </c>
      <c r="L52" s="47"/>
    </row>
    <row r="53" spans="6:12" ht="15.75" customHeight="1">
      <c r="F53" s="21" t="s">
        <v>48</v>
      </c>
      <c r="G53" s="75">
        <f>ROUND(+VARIABLES!D11/3,0)</f>
        <v>6</v>
      </c>
      <c r="H53" s="21" t="s">
        <v>50</v>
      </c>
      <c r="L53" s="47"/>
    </row>
    <row r="54" spans="6:13" ht="15.75" customHeight="1">
      <c r="F54" s="21" t="s">
        <v>52</v>
      </c>
      <c r="G54" s="74"/>
      <c r="L54" s="47"/>
      <c r="M54" s="61">
        <f>ROUND(F57*C52,2)</f>
        <v>3540106.27</v>
      </c>
    </row>
    <row r="55" spans="6:13" ht="15.75" customHeight="1" hidden="1">
      <c r="F55" s="21" t="s">
        <v>53</v>
      </c>
      <c r="G55" s="74">
        <v>0.2</v>
      </c>
      <c r="L55" s="47"/>
      <c r="M55" s="61">
        <f>ROUND(M54*G55,2)</f>
        <v>708021.25</v>
      </c>
    </row>
    <row r="56" spans="7:13" ht="9.75" customHeight="1">
      <c r="G56" s="74"/>
      <c r="L56" s="47"/>
      <c r="M56" s="61"/>
    </row>
    <row r="57" spans="2:15" ht="19.5" customHeight="1">
      <c r="B57" s="21" t="s">
        <v>47</v>
      </c>
      <c r="E57" s="45" t="s">
        <v>11</v>
      </c>
      <c r="F57" s="47">
        <f>+F29</f>
        <v>141604250.64</v>
      </c>
      <c r="I57" s="16" t="s">
        <v>120</v>
      </c>
      <c r="J57" s="16"/>
      <c r="K57" s="16"/>
      <c r="L57" s="16"/>
      <c r="M57" s="62">
        <f>ROUND(M54*G52*G53/12,2)</f>
        <v>26550.8</v>
      </c>
      <c r="O57" s="47"/>
    </row>
    <row r="58" ht="19.5" customHeight="1">
      <c r="F58" s="47"/>
    </row>
    <row r="59" spans="10:15" s="68" customFormat="1" ht="24" customHeight="1">
      <c r="J59" s="69"/>
      <c r="K59" s="69"/>
      <c r="L59" s="70" t="s">
        <v>119</v>
      </c>
      <c r="M59" s="71">
        <f>SUM(M57,M48,M39,M29,M20)</f>
        <v>1678010.3699999999</v>
      </c>
      <c r="N59" s="69"/>
      <c r="O59" s="72"/>
    </row>
  </sheetData>
  <printOptions horizontalCentered="1"/>
  <pageMargins left="0.7874015748031497" right="0.5905511811023623" top="0.5905511811023623" bottom="1.3779527559055118" header="0" footer="0.275590551181102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64"/>
  <sheetViews>
    <sheetView view="pageBreakPreview" zoomScaleSheetLayoutView="100" workbookViewId="0" topLeftCell="A36">
      <selection activeCell="G38" sqref="G38"/>
    </sheetView>
  </sheetViews>
  <sheetFormatPr defaultColWidth="12.57421875" defaultRowHeight="12.75"/>
  <cols>
    <col min="1" max="1" width="3.7109375" style="21" customWidth="1"/>
    <col min="2" max="2" width="11.7109375" style="21" customWidth="1"/>
    <col min="3" max="3" width="9.7109375" style="21" customWidth="1"/>
    <col min="4" max="5" width="3.7109375" style="21" customWidth="1"/>
    <col min="6" max="6" width="30.28125" style="21" customWidth="1"/>
    <col min="7" max="7" width="12.7109375" style="21" customWidth="1"/>
    <col min="8" max="8" width="3.7109375" style="21" customWidth="1"/>
    <col min="9" max="12" width="5.7109375" style="21" customWidth="1"/>
    <col min="13" max="13" width="15.7109375" style="21" customWidth="1"/>
    <col min="14" max="14" width="6.140625" style="21" customWidth="1"/>
    <col min="15" max="15" width="15.140625" style="21" customWidth="1"/>
    <col min="16" max="16384" width="12.57421875" style="21" customWidth="1"/>
  </cols>
  <sheetData>
    <row r="1" spans="1:28" s="42" customFormat="1" ht="16.5">
      <c r="A1" s="33" t="s">
        <v>491</v>
      </c>
      <c r="B1" s="48"/>
      <c r="C1" s="5" t="s">
        <v>492</v>
      </c>
      <c r="J1" s="43"/>
      <c r="O1" s="44"/>
      <c r="AB1" s="43"/>
    </row>
    <row r="2" spans="1:28" s="42" customFormat="1" ht="16.5">
      <c r="A2" s="33"/>
      <c r="B2" s="48"/>
      <c r="C2" s="5" t="s">
        <v>493</v>
      </c>
      <c r="K2" s="43"/>
      <c r="L2" s="43"/>
      <c r="M2" s="45"/>
      <c r="AA2" s="43"/>
      <c r="AB2" s="43"/>
    </row>
    <row r="3" spans="1:28" s="42" customFormat="1" ht="16.5">
      <c r="A3" s="5" t="s">
        <v>494</v>
      </c>
      <c r="B3" s="34"/>
      <c r="C3" s="5" t="s">
        <v>495</v>
      </c>
      <c r="I3" s="21"/>
      <c r="K3" s="43"/>
      <c r="L3" s="43"/>
      <c r="M3" s="45"/>
      <c r="AA3" s="43"/>
      <c r="AB3" s="43"/>
    </row>
    <row r="4" spans="1:15" s="42" customFormat="1" ht="16.5">
      <c r="A4" s="33" t="s">
        <v>496</v>
      </c>
      <c r="B4" s="34"/>
      <c r="C4" s="5" t="s">
        <v>497</v>
      </c>
      <c r="O4" s="44"/>
    </row>
    <row r="5" spans="7:15" s="42" customFormat="1" ht="25.5" customHeight="1">
      <c r="G5" s="44"/>
      <c r="H5" s="44"/>
      <c r="I5" s="44"/>
      <c r="J5" s="44"/>
      <c r="K5" s="44"/>
      <c r="L5" s="44"/>
      <c r="M5" s="44"/>
      <c r="N5" s="44"/>
      <c r="O5" s="44"/>
    </row>
    <row r="6" spans="1:15" s="53" customFormat="1" ht="24" customHeight="1">
      <c r="A6" s="49" t="s">
        <v>269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1"/>
      <c r="M6" s="51"/>
      <c r="N6" s="52"/>
      <c r="O6" s="52"/>
    </row>
    <row r="7" spans="7:15" s="42" customFormat="1" ht="7.5" customHeight="1">
      <c r="G7" s="44"/>
      <c r="H7" s="44"/>
      <c r="I7" s="44"/>
      <c r="J7" s="44"/>
      <c r="K7" s="44"/>
      <c r="L7" s="44"/>
      <c r="M7" s="44"/>
      <c r="N7" s="44"/>
      <c r="O7" s="44"/>
    </row>
    <row r="8" spans="1:15" s="42" customFormat="1" ht="15" customHeight="1">
      <c r="A8" s="21"/>
      <c r="G8" s="44"/>
      <c r="H8" s="44"/>
      <c r="I8" s="44"/>
      <c r="J8" s="44"/>
      <c r="K8" s="44"/>
      <c r="L8" s="44"/>
      <c r="M8" s="44"/>
      <c r="N8" s="44"/>
      <c r="O8" s="44"/>
    </row>
    <row r="9" spans="1:15" s="42" customFormat="1" ht="15" customHeight="1">
      <c r="A9" s="21"/>
      <c r="G9" s="54"/>
      <c r="H9" s="5"/>
      <c r="I9" s="44"/>
      <c r="J9" s="44"/>
      <c r="K9" s="44"/>
      <c r="L9" s="44"/>
      <c r="M9" s="44"/>
      <c r="N9" s="44"/>
      <c r="O9" s="44"/>
    </row>
    <row r="10" spans="6:7" s="42" customFormat="1" ht="16.5">
      <c r="F10" s="44"/>
      <c r="G10" s="44"/>
    </row>
    <row r="11" spans="1:13" s="16" customFormat="1" ht="21" customHeight="1">
      <c r="A11" s="146" t="s">
        <v>216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</row>
    <row r="12" spans="6:7" s="42" customFormat="1" ht="16.5">
      <c r="F12" s="44"/>
      <c r="G12" s="44"/>
    </row>
    <row r="13" spans="1:5" ht="16.5">
      <c r="A13" s="56" t="s">
        <v>123</v>
      </c>
      <c r="B13" s="57"/>
      <c r="C13" s="57"/>
      <c r="D13" s="57"/>
      <c r="E13" s="57"/>
    </row>
    <row r="14" spans="2:13" ht="16.5">
      <c r="B14" s="21" t="s">
        <v>44</v>
      </c>
      <c r="C14" s="58">
        <v>0.013200067</v>
      </c>
      <c r="F14" s="59"/>
      <c r="G14" s="60"/>
      <c r="L14" s="47"/>
      <c r="M14" s="59"/>
    </row>
    <row r="15" spans="6:13" ht="16.5">
      <c r="F15" s="59" t="s">
        <v>201</v>
      </c>
      <c r="G15" s="61">
        <f>FIJOS!D12</f>
        <v>18</v>
      </c>
      <c r="L15" s="47"/>
      <c r="M15" s="59"/>
    </row>
    <row r="16" spans="1:5" s="42" customFormat="1" ht="7.5" customHeight="1">
      <c r="A16" s="16"/>
      <c r="E16" s="5"/>
    </row>
    <row r="17" spans="2:15" ht="18" customHeight="1">
      <c r="B17" s="21" t="s">
        <v>55</v>
      </c>
      <c r="E17" s="45" t="s">
        <v>11</v>
      </c>
      <c r="F17" s="47">
        <f>ROUND(22*0.06*FIJOS!C13*0.1,0)</f>
        <v>14990030</v>
      </c>
      <c r="I17" s="16" t="s">
        <v>120</v>
      </c>
      <c r="J17" s="16"/>
      <c r="K17" s="16"/>
      <c r="L17" s="16"/>
      <c r="M17" s="62">
        <f>ROUND((C14*G15/12)*F17,2)</f>
        <v>296804.1</v>
      </c>
      <c r="O17" s="47"/>
    </row>
    <row r="18" ht="12.75" customHeight="1">
      <c r="F18" s="47"/>
    </row>
    <row r="19" spans="1:5" ht="16.5">
      <c r="A19" s="56" t="s">
        <v>124</v>
      </c>
      <c r="B19" s="57"/>
      <c r="C19" s="57"/>
      <c r="D19" s="57"/>
      <c r="E19" s="57"/>
    </row>
    <row r="20" spans="2:13" ht="16.5">
      <c r="B20" s="21" t="s">
        <v>44</v>
      </c>
      <c r="C20" s="58">
        <v>0.012</v>
      </c>
      <c r="F20" s="59"/>
      <c r="G20" s="60"/>
      <c r="L20" s="47"/>
      <c r="M20" s="59"/>
    </row>
    <row r="21" spans="6:13" ht="16.5">
      <c r="F21" s="59" t="s">
        <v>201</v>
      </c>
      <c r="G21" s="61">
        <f>+G15</f>
        <v>18</v>
      </c>
      <c r="L21" s="47"/>
      <c r="M21" s="59"/>
    </row>
    <row r="22" spans="1:5" s="42" customFormat="1" ht="7.5" customHeight="1">
      <c r="A22" s="16"/>
      <c r="E22" s="5"/>
    </row>
    <row r="23" spans="2:15" ht="18" customHeight="1">
      <c r="B23" s="21" t="s">
        <v>47</v>
      </c>
      <c r="E23" s="45" t="s">
        <v>11</v>
      </c>
      <c r="F23" s="47">
        <f>+VARIABLES!G77</f>
        <v>6912855</v>
      </c>
      <c r="I23" s="16" t="s">
        <v>120</v>
      </c>
      <c r="J23" s="16"/>
      <c r="K23" s="16"/>
      <c r="L23" s="16"/>
      <c r="M23" s="62">
        <f>ROUND((C20)*F23,2)</f>
        <v>82954.26</v>
      </c>
      <c r="O23" s="47"/>
    </row>
    <row r="24" ht="12.75" customHeight="1">
      <c r="F24" s="47"/>
    </row>
    <row r="25" spans="1:5" ht="16.5">
      <c r="A25" s="56" t="s">
        <v>125</v>
      </c>
      <c r="B25" s="57"/>
      <c r="C25" s="57"/>
      <c r="D25" s="57"/>
      <c r="E25" s="57"/>
    </row>
    <row r="26" spans="2:13" ht="16.5">
      <c r="B26" s="21" t="s">
        <v>44</v>
      </c>
      <c r="C26" s="58">
        <v>0.0055</v>
      </c>
      <c r="F26" s="59"/>
      <c r="G26" s="60"/>
      <c r="L26" s="47"/>
      <c r="M26" s="59"/>
    </row>
    <row r="27" spans="6:13" ht="16.5">
      <c r="F27" s="59" t="s">
        <v>48</v>
      </c>
      <c r="G27" s="61">
        <f>+G21</f>
        <v>18</v>
      </c>
      <c r="L27" s="47"/>
      <c r="M27" s="59"/>
    </row>
    <row r="28" spans="1:5" s="42" customFormat="1" ht="7.5" customHeight="1">
      <c r="A28" s="16"/>
      <c r="E28" s="5"/>
    </row>
    <row r="29" spans="2:15" ht="18" customHeight="1">
      <c r="B29" s="21" t="s">
        <v>47</v>
      </c>
      <c r="E29" s="45" t="s">
        <v>11</v>
      </c>
      <c r="F29" s="47">
        <f>ROUND(FIJOS!G75+VARIABLES!G77,0)</f>
        <v>6974015</v>
      </c>
      <c r="I29" s="16" t="s">
        <v>120</v>
      </c>
      <c r="J29" s="16"/>
      <c r="K29" s="16"/>
      <c r="L29" s="16"/>
      <c r="M29" s="62">
        <f>ROUND((C26*G27/12)*F29,2)</f>
        <v>57535.62</v>
      </c>
      <c r="O29" s="47"/>
    </row>
    <row r="30" ht="12.75" customHeight="1" hidden="1">
      <c r="F30" s="47"/>
    </row>
    <row r="31" spans="1:5" ht="16.5" hidden="1">
      <c r="A31" s="56" t="s">
        <v>126</v>
      </c>
      <c r="B31" s="57"/>
      <c r="C31" s="57"/>
      <c r="D31" s="57"/>
      <c r="E31" s="57"/>
    </row>
    <row r="32" spans="2:13" ht="16.5" hidden="1">
      <c r="B32" s="21" t="s">
        <v>44</v>
      </c>
      <c r="C32" s="63">
        <v>7.4</v>
      </c>
      <c r="D32" s="21" t="s">
        <v>71</v>
      </c>
      <c r="F32" s="59" t="s">
        <v>54</v>
      </c>
      <c r="G32" s="60">
        <v>500000</v>
      </c>
      <c r="L32" s="47"/>
      <c r="M32" s="59"/>
    </row>
    <row r="33" spans="6:13" ht="15.75" customHeight="1" hidden="1">
      <c r="F33" s="59" t="s">
        <v>48</v>
      </c>
      <c r="G33" s="61"/>
      <c r="L33" s="47"/>
      <c r="M33" s="59"/>
    </row>
    <row r="34" spans="1:5" s="42" customFormat="1" ht="7.5" customHeight="1" hidden="1">
      <c r="A34" s="16"/>
      <c r="E34" s="5"/>
    </row>
    <row r="35" spans="2:15" ht="18" customHeight="1" hidden="1">
      <c r="B35" s="21" t="s">
        <v>55</v>
      </c>
      <c r="E35" s="45" t="s">
        <v>11</v>
      </c>
      <c r="F35" s="47">
        <f>ROUND(+G32*3,0)</f>
        <v>1500000</v>
      </c>
      <c r="I35" s="16" t="s">
        <v>120</v>
      </c>
      <c r="J35" s="16"/>
      <c r="K35" s="16"/>
      <c r="L35" s="16"/>
      <c r="M35" s="62">
        <f>ROUND((C32/1000*G33/12)*F35,2)</f>
        <v>0</v>
      </c>
      <c r="O35" s="47"/>
    </row>
    <row r="36" ht="12.75" customHeight="1">
      <c r="F36" s="47"/>
    </row>
    <row r="37" spans="1:5" ht="16.5">
      <c r="A37" s="56" t="s">
        <v>490</v>
      </c>
      <c r="B37" s="57"/>
      <c r="C37" s="57"/>
      <c r="D37" s="57"/>
      <c r="E37" s="57"/>
    </row>
    <row r="38" spans="6:12" ht="16.5">
      <c r="F38" s="59" t="s">
        <v>92</v>
      </c>
      <c r="G38" s="60">
        <f>+G39</f>
        <v>113560834.32</v>
      </c>
      <c r="L38" s="47"/>
    </row>
    <row r="39" spans="2:13" ht="15.75" customHeight="1">
      <c r="B39" s="21" t="s">
        <v>72</v>
      </c>
      <c r="C39" s="63">
        <v>1.68</v>
      </c>
      <c r="D39" s="21" t="s">
        <v>71</v>
      </c>
      <c r="F39" s="59" t="s">
        <v>73</v>
      </c>
      <c r="G39" s="60">
        <f>+FIJOS!C13</f>
        <v>113560834.32</v>
      </c>
      <c r="L39" s="47"/>
      <c r="M39" s="59">
        <f>ROUND((C39/1000*G41/12)*G39,2)</f>
        <v>286173.3</v>
      </c>
    </row>
    <row r="40" spans="2:13" ht="19.5" customHeight="1">
      <c r="B40" s="21" t="s">
        <v>44</v>
      </c>
      <c r="C40" s="63">
        <v>1.86</v>
      </c>
      <c r="D40" s="21" t="s">
        <v>71</v>
      </c>
      <c r="F40" s="59" t="s">
        <v>74</v>
      </c>
      <c r="G40" s="64">
        <v>1</v>
      </c>
      <c r="L40" s="47"/>
      <c r="M40" s="59"/>
    </row>
    <row r="41" spans="6:7" ht="15.75" customHeight="1">
      <c r="F41" s="59" t="s">
        <v>48</v>
      </c>
      <c r="G41" s="61">
        <f>+G15</f>
        <v>18</v>
      </c>
    </row>
    <row r="42" spans="2:13" ht="15.75" customHeight="1">
      <c r="B42" s="21" t="s">
        <v>55</v>
      </c>
      <c r="E42" s="45" t="s">
        <v>11</v>
      </c>
      <c r="F42" s="59">
        <f>ROUND(+G38*G40,0)</f>
        <v>113560834</v>
      </c>
      <c r="M42" s="47">
        <f>ROUND((C40/1000*G41/12)*F42,2)</f>
        <v>316834.73</v>
      </c>
    </row>
    <row r="43" spans="1:5" s="42" customFormat="1" ht="7.5" customHeight="1">
      <c r="A43" s="16"/>
      <c r="E43" s="5"/>
    </row>
    <row r="44" spans="5:15" ht="18" customHeight="1">
      <c r="E44" s="45"/>
      <c r="F44" s="47"/>
      <c r="I44" s="16" t="s">
        <v>120</v>
      </c>
      <c r="J44" s="16"/>
      <c r="K44" s="16"/>
      <c r="L44" s="16"/>
      <c r="M44" s="62">
        <f>SUM(M39:M42)</f>
        <v>603008.03</v>
      </c>
      <c r="O44" s="47"/>
    </row>
    <row r="45" ht="12.75" customHeight="1">
      <c r="F45" s="47"/>
    </row>
    <row r="46" spans="1:5" ht="16.5" hidden="1">
      <c r="A46" s="56" t="s">
        <v>127</v>
      </c>
      <c r="B46" s="57"/>
      <c r="C46" s="57"/>
      <c r="D46" s="57"/>
      <c r="E46" s="57"/>
    </row>
    <row r="47" spans="2:13" ht="16.5" hidden="1">
      <c r="B47" s="21" t="s">
        <v>44</v>
      </c>
      <c r="C47" s="63">
        <v>3.22</v>
      </c>
      <c r="D47" s="21" t="s">
        <v>71</v>
      </c>
      <c r="F47" s="59" t="s">
        <v>92</v>
      </c>
      <c r="G47" s="60">
        <f>+G38</f>
        <v>113560834.32</v>
      </c>
      <c r="L47" s="47"/>
      <c r="M47" s="46"/>
    </row>
    <row r="48" spans="6:12" ht="15.75" customHeight="1" hidden="1">
      <c r="F48" s="59" t="s">
        <v>74</v>
      </c>
      <c r="G48" s="64">
        <v>0.05</v>
      </c>
      <c r="L48" s="47"/>
    </row>
    <row r="49" spans="6:12" ht="15.75" customHeight="1" hidden="1">
      <c r="F49" s="59" t="s">
        <v>48</v>
      </c>
      <c r="G49" s="65"/>
      <c r="L49" s="47"/>
    </row>
    <row r="50" spans="1:5" s="42" customFormat="1" ht="7.5" customHeight="1" hidden="1">
      <c r="A50" s="16"/>
      <c r="E50" s="5"/>
    </row>
    <row r="51" spans="2:15" ht="18" customHeight="1" hidden="1">
      <c r="B51" s="21" t="s">
        <v>47</v>
      </c>
      <c r="E51" s="45" t="s">
        <v>11</v>
      </c>
      <c r="F51" s="47">
        <f>ROUND(+G47*G48,0)</f>
        <v>5678042</v>
      </c>
      <c r="I51" s="16" t="s">
        <v>120</v>
      </c>
      <c r="J51" s="16"/>
      <c r="K51" s="16"/>
      <c r="L51" s="16"/>
      <c r="M51" s="62">
        <f>ROUND((C47/1000)*F51*G49/12,2)</f>
        <v>0</v>
      </c>
      <c r="O51" s="47"/>
    </row>
    <row r="52" ht="12.75" customHeight="1" hidden="1">
      <c r="F52" s="47"/>
    </row>
    <row r="53" spans="1:5" ht="16.5" hidden="1">
      <c r="A53" s="56" t="s">
        <v>202</v>
      </c>
      <c r="B53" s="57"/>
      <c r="C53" s="57"/>
      <c r="D53" s="57"/>
      <c r="E53" s="57"/>
    </row>
    <row r="54" spans="2:12" ht="16.5" hidden="1">
      <c r="B54" s="21" t="s">
        <v>44</v>
      </c>
      <c r="C54" s="66">
        <v>0.8</v>
      </c>
      <c r="D54" s="21" t="s">
        <v>71</v>
      </c>
      <c r="F54" s="59" t="s">
        <v>92</v>
      </c>
      <c r="G54" s="60">
        <f>+G38</f>
        <v>113560834.32</v>
      </c>
      <c r="L54" s="47"/>
    </row>
    <row r="55" spans="3:12" ht="15.75" customHeight="1" hidden="1">
      <c r="C55" s="67"/>
      <c r="F55" s="59" t="s">
        <v>74</v>
      </c>
      <c r="G55" s="64">
        <v>0.05</v>
      </c>
      <c r="L55" s="47"/>
    </row>
    <row r="56" spans="6:12" ht="15.75" customHeight="1" hidden="1">
      <c r="F56" s="21" t="s">
        <v>48</v>
      </c>
      <c r="G56" s="61"/>
      <c r="L56" s="47"/>
    </row>
    <row r="57" spans="1:5" s="42" customFormat="1" ht="7.5" customHeight="1" hidden="1">
      <c r="A57" s="16"/>
      <c r="E57" s="5"/>
    </row>
    <row r="58" spans="2:15" ht="18" customHeight="1" hidden="1">
      <c r="B58" s="21" t="s">
        <v>55</v>
      </c>
      <c r="E58" s="45" t="s">
        <v>11</v>
      </c>
      <c r="F58" s="47">
        <f>ROUND(+G54*G55,0)</f>
        <v>5678042</v>
      </c>
      <c r="I58" s="16" t="s">
        <v>120</v>
      </c>
      <c r="J58" s="16"/>
      <c r="K58" s="16"/>
      <c r="L58" s="16"/>
      <c r="M58" s="62">
        <f>ROUND((C54/1000*G56/12)*F58,2)</f>
        <v>0</v>
      </c>
      <c r="O58" s="47"/>
    </row>
    <row r="59" ht="16.5">
      <c r="F59" s="47"/>
    </row>
    <row r="60" spans="10:15" s="68" customFormat="1" ht="24" customHeight="1">
      <c r="J60" s="69"/>
      <c r="K60" s="69"/>
      <c r="L60" s="70" t="s">
        <v>128</v>
      </c>
      <c r="M60" s="71">
        <f>ROUND((M17+M23+M29+M35+M44+M51+M58),2)</f>
        <v>1040302.01</v>
      </c>
      <c r="N60" s="69"/>
      <c r="O60" s="72"/>
    </row>
    <row r="62" spans="1:13" ht="16.5">
      <c r="A62" s="56" t="s">
        <v>212</v>
      </c>
      <c r="B62" s="57"/>
      <c r="C62" s="57"/>
      <c r="D62" s="57"/>
      <c r="E62" s="57"/>
      <c r="I62" s="73">
        <v>0.03</v>
      </c>
      <c r="J62" s="21" t="s">
        <v>129</v>
      </c>
      <c r="M62" s="19">
        <f>ROUND(I62*M60,2)</f>
        <v>31209.06</v>
      </c>
    </row>
    <row r="63" spans="1:5" ht="16.5">
      <c r="A63" s="56"/>
      <c r="B63" s="57"/>
      <c r="C63" s="57"/>
      <c r="D63" s="57"/>
      <c r="E63" s="57"/>
    </row>
    <row r="64" spans="10:15" s="68" customFormat="1" ht="24" customHeight="1">
      <c r="J64" s="69"/>
      <c r="K64" s="69"/>
      <c r="L64" s="70" t="s">
        <v>203</v>
      </c>
      <c r="M64" s="71">
        <f>SUM(M60:M62)</f>
        <v>1071511.07</v>
      </c>
      <c r="N64" s="69"/>
      <c r="O64" s="72"/>
    </row>
  </sheetData>
  <printOptions horizontalCentered="1"/>
  <pageMargins left="0.7874015748031497" right="0.5905511811023623" top="0.5905511811023623" bottom="1.3779527559055118" header="0" footer="0.2755905511811024"/>
  <pageSetup horizontalDpi="600" verticalDpi="600" orientation="portrait" paperSize="9" scale="75" r:id="rId1"/>
  <headerFooter alignWithMargins="0">
    <oddFooter>&amp;C&amp;8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 Y P REINGENIERIA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GUERRERO</dc:creator>
  <cp:keywords/>
  <dc:description/>
  <cp:lastModifiedBy>AIDA ARTEAGA</cp:lastModifiedBy>
  <cp:lastPrinted>2009-09-09T06:31:15Z</cp:lastPrinted>
  <dcterms:created xsi:type="dcterms:W3CDTF">1999-12-08T18:03:03Z</dcterms:created>
  <dcterms:modified xsi:type="dcterms:W3CDTF">2009-09-09T06:31:40Z</dcterms:modified>
  <cp:category/>
  <cp:version/>
  <cp:contentType/>
  <cp:contentStatus/>
</cp:coreProperties>
</file>